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315" windowHeight="9240" firstSheet="5" activeTab="11"/>
  </bookViews>
  <sheets>
    <sheet name="Ценообразование" sheetId="1" r:id="rId1"/>
    <sheet name="ЦФУ Продажи" sheetId="2" r:id="rId2"/>
    <sheet name="ПРОДАЖИ" sheetId="3" r:id="rId3"/>
    <sheet name="ЦФУ Закупки" sheetId="4" r:id="rId4"/>
    <sheet name="ЦФУ Бухгалтерия и кадры" sheetId="5" r:id="rId5"/>
    <sheet name="ЦФУ Магазин" sheetId="6" r:id="rId6"/>
    <sheet name="ЦФУ Доставка и склад" sheetId="7" r:id="rId7"/>
    <sheet name="СВОДНАЯ" sheetId="8" r:id="rId8"/>
    <sheet name="Мин. ОБОРОТ" sheetId="9" r:id="rId9"/>
    <sheet name="$ ЦФУ" sheetId="10" r:id="rId10"/>
    <sheet name="Реклама" sheetId="11" r:id="rId11"/>
    <sheet name="План" sheetId="12" r:id="rId12"/>
  </sheets>
  <definedNames>
    <definedName name="_xlnm.Print_Area" localSheetId="0">'Ценообразование'!$A$1:$M$31</definedName>
  </definedNames>
  <calcPr fullCalcOnLoad="1"/>
</workbook>
</file>

<file path=xl/sharedStrings.xml><?xml version="1.0" encoding="utf-8"?>
<sst xmlns="http://schemas.openxmlformats.org/spreadsheetml/2006/main" count="955" uniqueCount="450">
  <si>
    <t>Вал</t>
  </si>
  <si>
    <t>План</t>
  </si>
  <si>
    <t>Итого</t>
  </si>
  <si>
    <t>%</t>
  </si>
  <si>
    <t>Бонус %</t>
  </si>
  <si>
    <t>Оклад</t>
  </si>
  <si>
    <t>% от вала</t>
  </si>
  <si>
    <t>Итого з/п</t>
  </si>
  <si>
    <t>Расходы</t>
  </si>
  <si>
    <t>аренда</t>
  </si>
  <si>
    <t>телефон</t>
  </si>
  <si>
    <t>интернет</t>
  </si>
  <si>
    <t>налоги</t>
  </si>
  <si>
    <t>канцтовары</t>
  </si>
  <si>
    <t>мебель</t>
  </si>
  <si>
    <t>оргтехника</t>
  </si>
  <si>
    <t>реклама</t>
  </si>
  <si>
    <t>поездки</t>
  </si>
  <si>
    <t>прочее</t>
  </si>
  <si>
    <t>бухгалтерия</t>
  </si>
  <si>
    <t>%=</t>
  </si>
  <si>
    <t>% ЦФУ</t>
  </si>
  <si>
    <t>Остаток</t>
  </si>
  <si>
    <t>Сумма</t>
  </si>
  <si>
    <t>Директор</t>
  </si>
  <si>
    <t>Менеджер3</t>
  </si>
  <si>
    <t>Менеджер2</t>
  </si>
  <si>
    <t>Менеджер1</t>
  </si>
  <si>
    <t>менеджер</t>
  </si>
  <si>
    <t>компания</t>
  </si>
  <si>
    <t>Рубли</t>
  </si>
  <si>
    <t>Статья</t>
  </si>
  <si>
    <t xml:space="preserve">Отдел </t>
  </si>
  <si>
    <t>С человека</t>
  </si>
  <si>
    <t>Расходы ЦФУ</t>
  </si>
  <si>
    <t>директор</t>
  </si>
  <si>
    <t>ПремияЦФУ</t>
  </si>
  <si>
    <t>уборка</t>
  </si>
  <si>
    <t>коммуналка</t>
  </si>
  <si>
    <t>кадры</t>
  </si>
  <si>
    <t>Наценка %</t>
  </si>
  <si>
    <t>Доставка</t>
  </si>
  <si>
    <t>Доля наценки %</t>
  </si>
  <si>
    <t>Продажи</t>
  </si>
  <si>
    <t xml:space="preserve">Цена рубли </t>
  </si>
  <si>
    <t>Прибыль</t>
  </si>
  <si>
    <t>ИТОГО</t>
  </si>
  <si>
    <t>Наценка, консалтинг %</t>
  </si>
  <si>
    <t>Наценка, за сделку %</t>
  </si>
  <si>
    <t>Доля наценки от закупочной цены %</t>
  </si>
  <si>
    <t>Цена доставки</t>
  </si>
  <si>
    <t>Доля наценки</t>
  </si>
  <si>
    <t>Скидка поставщика</t>
  </si>
  <si>
    <t>Цена закупки</t>
  </si>
  <si>
    <t>Наценка от закупочной цены %</t>
  </si>
  <si>
    <t>Доля наценки от вала</t>
  </si>
  <si>
    <t>Доля наценки от вала без учета доставки</t>
  </si>
  <si>
    <t>Товар</t>
  </si>
  <si>
    <t>Валюта</t>
  </si>
  <si>
    <t>Сумма сделки</t>
  </si>
  <si>
    <t>Курс</t>
  </si>
  <si>
    <t>Курс с наценкой</t>
  </si>
  <si>
    <t>Сумма итого</t>
  </si>
  <si>
    <t>Доля от вала</t>
  </si>
  <si>
    <t>от вала</t>
  </si>
  <si>
    <t>наценка</t>
  </si>
  <si>
    <t>Закупка</t>
  </si>
  <si>
    <t>неучтенка</t>
  </si>
  <si>
    <t>Введите вал:</t>
  </si>
  <si>
    <t>Сумма прибыли</t>
  </si>
  <si>
    <t>Расходы %</t>
  </si>
  <si>
    <t>Доставка (4%)</t>
  </si>
  <si>
    <t>Закупочная стоимость, прайс</t>
  </si>
  <si>
    <t>С премией от ЦФУ</t>
  </si>
  <si>
    <t>Итого:</t>
  </si>
  <si>
    <t>Статьи расходов должны быть увязаны с налогами на основные средства и прочими налогами.</t>
  </si>
  <si>
    <t>пересчитывается на магазин+отделы+склад</t>
  </si>
  <si>
    <t>считается амортизация, исходя из 20% годовых и трех лет окупаемости</t>
  </si>
  <si>
    <t>по факту на количество человек</t>
  </si>
  <si>
    <t>по факту на заинтересованных (количество человек)</t>
  </si>
  <si>
    <t>по факту на отдел или количество человек</t>
  </si>
  <si>
    <t>по факту</t>
  </si>
  <si>
    <t>на человека индивидуально</t>
  </si>
  <si>
    <t>на человека</t>
  </si>
  <si>
    <t>по факту по площади на отдел (по количеству человек)</t>
  </si>
  <si>
    <t>машина считается из расчета 5 лет окупаемости, недвижимость - 10 лет.</t>
  </si>
  <si>
    <t>з/п</t>
  </si>
  <si>
    <t>вал</t>
  </si>
  <si>
    <t>Аренда</t>
  </si>
  <si>
    <t>всего</t>
  </si>
  <si>
    <t>с человека</t>
  </si>
  <si>
    <t>Бухгалтерия</t>
  </si>
  <si>
    <t>Кадры</t>
  </si>
  <si>
    <t>Авто</t>
  </si>
  <si>
    <t xml:space="preserve">Налоги </t>
  </si>
  <si>
    <t>Коммуналка</t>
  </si>
  <si>
    <t>Кол-во человек:</t>
  </si>
  <si>
    <t>Вал:</t>
  </si>
  <si>
    <t>$</t>
  </si>
  <si>
    <t>↓</t>
  </si>
  <si>
    <t>Посуда</t>
  </si>
  <si>
    <t xml:space="preserve">Оборудование </t>
  </si>
  <si>
    <t>Текстиль</t>
  </si>
  <si>
    <t>Количество человек</t>
  </si>
  <si>
    <t>февраль</t>
  </si>
  <si>
    <t>март</t>
  </si>
  <si>
    <t>апрель</t>
  </si>
  <si>
    <t>май</t>
  </si>
  <si>
    <t>июнь</t>
  </si>
  <si>
    <t>ИДЕАЛЬНЫЙ ВАРИАНТ</t>
  </si>
  <si>
    <t>июль</t>
  </si>
  <si>
    <t>1 мес.</t>
  </si>
  <si>
    <t>2 мес</t>
  </si>
  <si>
    <t>3 мес</t>
  </si>
  <si>
    <t>4 мес</t>
  </si>
  <si>
    <t>5 мес</t>
  </si>
  <si>
    <t>План на человека (тыс. рублей)</t>
  </si>
  <si>
    <t>6 мес</t>
  </si>
  <si>
    <t>7 мес</t>
  </si>
  <si>
    <t>Директору план на 20% меньше</t>
  </si>
  <si>
    <t>ИТОГО ПО КОМПАНИИ:</t>
  </si>
  <si>
    <t>средний оборот в месяц 1 половины года</t>
  </si>
  <si>
    <t>Сезонность?</t>
  </si>
  <si>
    <t>Прирост за месяц, %:</t>
  </si>
  <si>
    <t>%-средний процент</t>
  </si>
  <si>
    <t>ЦФУ Доставка и Склад</t>
  </si>
  <si>
    <t>ЦФУ Магазин</t>
  </si>
  <si>
    <t>ЦФУ Бухгалтерия и Кадры</t>
  </si>
  <si>
    <t>ЦФУ Продажи</t>
  </si>
  <si>
    <t>ЦФУ Радиус Юг</t>
  </si>
  <si>
    <t>без 20%налога</t>
  </si>
  <si>
    <t>Выполнение данного плана возможно при гибкой ценовой политике, жесткой (стратегической) работе с поставщиками и проведении рекламной компании типа "В Краснодаре по московским ценам" или "Цены производителей" или…            Уменьшение сроков доставки до 3 дней. Кредитование, рассрочка, лизинг.         Жесткая финансовая дисциплина, которая не исключает масштабные инвестиции в бизнес.                              Нужно учесть, что прирост в первые месяцы не будет расти сильно.</t>
  </si>
  <si>
    <t>Пост. Расходы без з/п</t>
  </si>
  <si>
    <t>Кол-во чел.:</t>
  </si>
  <si>
    <t>0,8%=</t>
  </si>
  <si>
    <t>0,1%=</t>
  </si>
  <si>
    <t>0,2%=</t>
  </si>
  <si>
    <t xml:space="preserve"> </t>
  </si>
  <si>
    <t>0,05%=</t>
  </si>
  <si>
    <t>0,25%=</t>
  </si>
  <si>
    <t>отдел продаж</t>
  </si>
  <si>
    <t>Вике за оприходование, за заказ</t>
  </si>
  <si>
    <t>Входящие</t>
  </si>
  <si>
    <t>разгрузка, погрузка</t>
  </si>
  <si>
    <t>за доставку</t>
  </si>
  <si>
    <t>субаренда склада</t>
  </si>
  <si>
    <t>отделам и пр.</t>
  </si>
  <si>
    <t>разгрузка-погрузка</t>
  </si>
  <si>
    <t>ЦФУ</t>
  </si>
  <si>
    <t>50/50</t>
  </si>
  <si>
    <t>договариваемся</t>
  </si>
  <si>
    <t>Рафинад платит, исходя из стоимости рабочего дня</t>
  </si>
  <si>
    <t>36540 рублей/22 дня/8часов</t>
  </si>
  <si>
    <t>часы с удорожанием %</t>
  </si>
  <si>
    <t>полный день стоит</t>
  </si>
  <si>
    <t>рублей</t>
  </si>
  <si>
    <t>???</t>
  </si>
  <si>
    <t>хочешь остаток?</t>
  </si>
  <si>
    <t>плати за хранение</t>
  </si>
  <si>
    <t>за закр. доки от продаж</t>
  </si>
  <si>
    <t>доставки</t>
  </si>
  <si>
    <t>250 рублей час/чел.</t>
  </si>
  <si>
    <t>4%=</t>
  </si>
  <si>
    <t>Эти 0,1% платит отдел продаж!</t>
  </si>
  <si>
    <t>ЦФУ Закупки</t>
  </si>
  <si>
    <t>ПЛАН</t>
  </si>
  <si>
    <t>Оборудов.</t>
  </si>
  <si>
    <t>Бухгалтер.</t>
  </si>
  <si>
    <t>Сервис</t>
  </si>
  <si>
    <t>август</t>
  </si>
  <si>
    <t>сентябрь</t>
  </si>
  <si>
    <t>октябрь</t>
  </si>
  <si>
    <t>ноябрь</t>
  </si>
  <si>
    <t>декабрь</t>
  </si>
  <si>
    <t>Итого человек:</t>
  </si>
  <si>
    <t>План с учетом отпусков</t>
  </si>
  <si>
    <t>стадия оплаты</t>
  </si>
  <si>
    <t>минус 40%</t>
  </si>
  <si>
    <t>1% оборуд</t>
  </si>
  <si>
    <t>Всего человек:</t>
  </si>
  <si>
    <t>Затраты без зп</t>
  </si>
  <si>
    <t>Поступления на ЦФУ</t>
  </si>
  <si>
    <t>Мин зп без налогов</t>
  </si>
  <si>
    <t>Все внутр расходы</t>
  </si>
  <si>
    <t>вывод: 100 тыс руб не хватает на ЦФУ</t>
  </si>
  <si>
    <t>Поправка +100</t>
  </si>
  <si>
    <t>Доход без налогов</t>
  </si>
  <si>
    <t>Прибыль без налогов</t>
  </si>
  <si>
    <t>окупаемая сумма инвестиций за 11 месяцев</t>
  </si>
  <si>
    <r>
      <t>Итого без 20% без 10</t>
    </r>
    <r>
      <rPr>
        <strike/>
        <sz val="10"/>
        <rFont val="Arial Cyr"/>
        <family val="0"/>
      </rPr>
      <t>%</t>
    </r>
  </si>
  <si>
    <t>наличкой 250 тысяч</t>
  </si>
  <si>
    <t>Ценообразование +0,5% на валюту и +20% при дисконте 10%</t>
  </si>
  <si>
    <t>При выходе на внешний рынок 30/70</t>
  </si>
  <si>
    <t>компании - 30</t>
  </si>
  <si>
    <t>со скидкой</t>
  </si>
  <si>
    <t>скидка</t>
  </si>
  <si>
    <t>для менед</t>
  </si>
  <si>
    <t>сумма</t>
  </si>
  <si>
    <t>был расход</t>
  </si>
  <si>
    <t>стал расход</t>
  </si>
  <si>
    <t>цена-расх1</t>
  </si>
  <si>
    <t>цена-расх2</t>
  </si>
  <si>
    <t>Реал. Скидка</t>
  </si>
  <si>
    <t>СКИДКИ</t>
  </si>
  <si>
    <t>выполнено из расчта 10% расходов от вала</t>
  </si>
  <si>
    <t>При уменьшении цены расходы уменьшаются</t>
  </si>
  <si>
    <t>35% ОТ стоимости межгорода</t>
  </si>
  <si>
    <t>или 0,85% от вала</t>
  </si>
  <si>
    <t>на чистой прибыли</t>
  </si>
  <si>
    <t>1%=0,,0243 ОТ ВАЛА</t>
  </si>
  <si>
    <t>0,05%=2,059 от доставки</t>
  </si>
  <si>
    <t>5%=0,1215 от вала</t>
  </si>
  <si>
    <t>кол-во чел</t>
  </si>
  <si>
    <t>Ср. дисконт %</t>
  </si>
  <si>
    <t>За доставку</t>
  </si>
  <si>
    <t>С ЦФУ</t>
  </si>
  <si>
    <t>расходы на третьего 10400</t>
  </si>
  <si>
    <t xml:space="preserve">  </t>
  </si>
  <si>
    <t>Еще 0,15% платить за введение номенклатуры, получение прайсов, сертификатов и т.д.</t>
  </si>
  <si>
    <t>Таким образом з/п фонд составит около 75 000 рублей, что позволяет взять на работу еще одного человека на з\п 15 000 рублей.</t>
  </si>
  <si>
    <t>еще по тарифам получают и за сервис. Думаю, что средняя ставка дисконта будет больше</t>
  </si>
  <si>
    <t>Доход=</t>
  </si>
  <si>
    <t>9,45%-70</t>
  </si>
  <si>
    <t>8,97% - расходы.</t>
  </si>
  <si>
    <t>Начисл.</t>
  </si>
  <si>
    <t>Дотация</t>
  </si>
  <si>
    <t>Бонус2</t>
  </si>
  <si>
    <t>начислено</t>
  </si>
  <si>
    <t>С бонус2</t>
  </si>
  <si>
    <t>Было</t>
  </si>
  <si>
    <t>2 чел.-директор: 1260</t>
  </si>
  <si>
    <t>3 чел- директор: 1190</t>
  </si>
  <si>
    <t>4 чел.- директор: 1120</t>
  </si>
  <si>
    <t>Расходы ЦФУ Продажи</t>
  </si>
  <si>
    <t>Расходы ЦФУ Закупки</t>
  </si>
  <si>
    <t>Расходы ЦФУ Бухгалтерия</t>
  </si>
  <si>
    <t>Человек:</t>
  </si>
  <si>
    <t>Расходы ЦФУ Доставка и Склад</t>
  </si>
  <si>
    <t>Расходы ЦФУ Магазин</t>
  </si>
  <si>
    <t>План:</t>
  </si>
  <si>
    <t>З/п</t>
  </si>
  <si>
    <t>На ЦфУ %</t>
  </si>
  <si>
    <t>ЦФУ $</t>
  </si>
  <si>
    <t>Все расх.</t>
  </si>
  <si>
    <t>Премия %</t>
  </si>
  <si>
    <t>Премия $</t>
  </si>
  <si>
    <t>РАСХОД</t>
  </si>
  <si>
    <t>Компании</t>
  </si>
  <si>
    <t>Премия</t>
  </si>
  <si>
    <t>Мин. з/п</t>
  </si>
  <si>
    <t>Ср. скидка%</t>
  </si>
  <si>
    <t>Наценка%:</t>
  </si>
  <si>
    <t>ПРИБЫЛЬ: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</si>
  <si>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</si>
  <si>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</si>
  <si>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</si>
  <si>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</si>
  <si>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</si>
  <si>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</si>
  <si>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</si>
  <si>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</si>
  <si>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</si>
  <si>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</si>
  <si>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</si>
  <si>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Январь</t>
  </si>
  <si>
    <t>Предст.</t>
  </si>
  <si>
    <t>Баннер</t>
  </si>
  <si>
    <t>Баннер спр</t>
  </si>
  <si>
    <t>Сочи</t>
  </si>
  <si>
    <t>0-81</t>
  </si>
  <si>
    <t>журнал</t>
  </si>
  <si>
    <t>Среднее за 1 месяц</t>
  </si>
  <si>
    <t>без магазина</t>
  </si>
  <si>
    <t>Чел.</t>
  </si>
  <si>
    <t>Расходы на чел.</t>
  </si>
  <si>
    <t>Итого на чел.</t>
  </si>
  <si>
    <t>РАСХОДЫ</t>
  </si>
  <si>
    <t>% бонус</t>
  </si>
  <si>
    <t>ВАЛ:</t>
  </si>
  <si>
    <t>Магазин</t>
  </si>
  <si>
    <t>Тариф на чел.</t>
  </si>
  <si>
    <t>Тариф на отдел</t>
  </si>
  <si>
    <t>З/П расчетная</t>
  </si>
  <si>
    <t>ДОХОД ЦФУ</t>
  </si>
  <si>
    <t>Вал на ЦФУ</t>
  </si>
  <si>
    <t>Доход ЦФУ</t>
  </si>
  <si>
    <t>ПРИБЫЛЬ ЦФУ</t>
  </si>
  <si>
    <t>Расходы ЦФУ без з/п</t>
  </si>
  <si>
    <t>Мин. ФОТ ЦФУ</t>
  </si>
  <si>
    <t>з/п расчет</t>
  </si>
  <si>
    <t>расход на человека</t>
  </si>
  <si>
    <t>процент</t>
  </si>
  <si>
    <t>бонус</t>
  </si>
  <si>
    <t>тариф</t>
  </si>
  <si>
    <t>личный</t>
  </si>
  <si>
    <t>людей</t>
  </si>
  <si>
    <t>план</t>
  </si>
  <si>
    <t>%-процент ЦФУ</t>
  </si>
  <si>
    <t>ФОТ</t>
  </si>
  <si>
    <t>Итого расходы</t>
  </si>
  <si>
    <t>ЦФУ %</t>
  </si>
  <si>
    <t>З/П Начисленно</t>
  </si>
  <si>
    <t>Премия ЦФУ %</t>
  </si>
  <si>
    <t>На руки</t>
  </si>
  <si>
    <t>Премия ЦФУ $</t>
  </si>
  <si>
    <t>идет на ЦФУ Продажи</t>
  </si>
  <si>
    <t>зависит от знака дотации</t>
  </si>
  <si>
    <t>ОТДЕЛ ПОСУДЫ</t>
  </si>
  <si>
    <t>ОТДЕЛ ОБОРУДОВАНИЯ</t>
  </si>
  <si>
    <t>ОТДЕЛ ТЕКСТИЛЯ</t>
  </si>
  <si>
    <t>ПРОДАЖИ СВОДНАЯ</t>
  </si>
  <si>
    <t>дот. $</t>
  </si>
  <si>
    <t>посуда</t>
  </si>
  <si>
    <t>оборуд</t>
  </si>
  <si>
    <t>текстиль</t>
  </si>
  <si>
    <t>люди</t>
  </si>
  <si>
    <t>итого</t>
  </si>
  <si>
    <t>расходы</t>
  </si>
  <si>
    <t>Дотац.</t>
  </si>
  <si>
    <t>процент ЦФУ</t>
  </si>
  <si>
    <t>Доход</t>
  </si>
  <si>
    <t>$ отдела</t>
  </si>
  <si>
    <t>реклама, поездки и т.д.</t>
  </si>
  <si>
    <t>доход</t>
  </si>
  <si>
    <t>расход</t>
  </si>
  <si>
    <t>РасходЦФУ</t>
  </si>
  <si>
    <t>реально</t>
  </si>
  <si>
    <t>план доход</t>
  </si>
  <si>
    <t>разница</t>
  </si>
  <si>
    <t>закупка</t>
  </si>
  <si>
    <t>заказ доставки</t>
  </si>
  <si>
    <t>оприходование</t>
  </si>
  <si>
    <t>0.1</t>
  </si>
  <si>
    <t>1С-цены</t>
  </si>
  <si>
    <t>неправильная цена</t>
  </si>
  <si>
    <t>отказ</t>
  </si>
  <si>
    <t>упущенная выгода!</t>
  </si>
  <si>
    <t>без посл.</t>
  </si>
  <si>
    <t>штраф</t>
  </si>
  <si>
    <t>50 р</t>
  </si>
  <si>
    <t>оплата поставщику</t>
  </si>
  <si>
    <t>оплата доставки</t>
  </si>
  <si>
    <t>Договор с поставщиком</t>
  </si>
  <si>
    <t>Сертификат на товар</t>
  </si>
  <si>
    <t>Получение каталога</t>
  </si>
  <si>
    <t>Получение прайса</t>
  </si>
  <si>
    <t>Введение номенклатуры</t>
  </si>
  <si>
    <t>Введение контрагентов</t>
  </si>
  <si>
    <t>Реестры</t>
  </si>
  <si>
    <t>Мониторинг цен конкурентов</t>
  </si>
  <si>
    <t>Договор, счет</t>
  </si>
  <si>
    <t>Бухгалтерии за печать</t>
  </si>
  <si>
    <t>Оплата</t>
  </si>
  <si>
    <t>Занесение в реестр</t>
  </si>
  <si>
    <t>Оплата счета поставщика</t>
  </si>
  <si>
    <t>Оплата счета за доставку</t>
  </si>
  <si>
    <t>Доверенность на отгрузку</t>
  </si>
  <si>
    <t>Выписать доки на отгрузку</t>
  </si>
  <si>
    <t>Отгрузка покупателю</t>
  </si>
  <si>
    <t>Закрывающие документы получить</t>
  </si>
  <si>
    <t>Закрывающие документы сдать</t>
  </si>
  <si>
    <t>Посчитать сделку</t>
  </si>
  <si>
    <t>Заказ доставки</t>
  </si>
  <si>
    <t>Отследить отгрузку у поставщика</t>
  </si>
  <si>
    <t>Отследить доставку в Краснодар</t>
  </si>
  <si>
    <t>Отгрузка у оператора в Краснодаре</t>
  </si>
  <si>
    <t>Доверенность в бухгалтерии</t>
  </si>
  <si>
    <t>Перевозка на наш склад</t>
  </si>
  <si>
    <t>Оприходование</t>
  </si>
  <si>
    <t>Разгрузка</t>
  </si>
  <si>
    <t>Выписка путевых листов</t>
  </si>
  <si>
    <t>ДОСТАВКА</t>
  </si>
  <si>
    <t>БУХГАЛТЕРИЯ</t>
  </si>
  <si>
    <t>получает</t>
  </si>
  <si>
    <t>платит</t>
  </si>
  <si>
    <t>получ</t>
  </si>
  <si>
    <t>плат</t>
  </si>
  <si>
    <t>от/кому</t>
  </si>
  <si>
    <t>За 1С</t>
  </si>
  <si>
    <t>с достав.</t>
  </si>
  <si>
    <t>54 тыс. от вала</t>
  </si>
  <si>
    <t>бонус 2</t>
  </si>
  <si>
    <t>от 2% руб</t>
  </si>
  <si>
    <t>С цфу %</t>
  </si>
  <si>
    <t>коэф для рук</t>
  </si>
  <si>
    <t>при невыполнении плана</t>
  </si>
  <si>
    <t>экономия</t>
  </si>
  <si>
    <t>отнимаем от прибыли ЦФУ</t>
  </si>
  <si>
    <t>коэф рук</t>
  </si>
  <si>
    <t>Поправка</t>
  </si>
  <si>
    <t>Прибыль ЦФУ</t>
  </si>
  <si>
    <t>для рук.</t>
  </si>
  <si>
    <t>План зп</t>
  </si>
  <si>
    <t>реал зп</t>
  </si>
  <si>
    <t>Отклон</t>
  </si>
  <si>
    <t>ФР</t>
  </si>
  <si>
    <t>% с окладом</t>
  </si>
  <si>
    <t xml:space="preserve">% зп от вала перем. часть </t>
  </si>
  <si>
    <t>руковод.</t>
  </si>
  <si>
    <t>% расход от вала</t>
  </si>
  <si>
    <t>% доход от вала</t>
  </si>
  <si>
    <t>% прибыль от вала</t>
  </si>
  <si>
    <t>мин оборот</t>
  </si>
  <si>
    <t>% со скидкой доход от вала</t>
  </si>
  <si>
    <t>Введите наценку %:</t>
  </si>
  <si>
    <t>Введите ср. скидку %:</t>
  </si>
  <si>
    <t>постоянные расходы</t>
  </si>
  <si>
    <t>минимальная з/п</t>
  </si>
  <si>
    <t>итого расходы, без учета Р.Д.</t>
  </si>
  <si>
    <t>Введите поправку на расходы:</t>
  </si>
  <si>
    <t>минимальный оборот для самоокупаемости</t>
  </si>
  <si>
    <t>расходы с поправкой</t>
  </si>
  <si>
    <t>Процент закупки</t>
  </si>
  <si>
    <t>По тарифам</t>
  </si>
  <si>
    <t>% наценка от закупки</t>
  </si>
  <si>
    <t>Штраф за нереализацию в сроки</t>
  </si>
  <si>
    <t>Компания кредитует под 12% годовых.</t>
  </si>
  <si>
    <t>Доход компании:</t>
  </si>
  <si>
    <t>Расход компании:</t>
  </si>
  <si>
    <t>Рентаб:</t>
  </si>
  <si>
    <t>Закупка у компании</t>
  </si>
  <si>
    <t>Расходы (см.сводную)</t>
  </si>
  <si>
    <t>% от закупки у поставщ.</t>
  </si>
  <si>
    <t>Введите наценку магазина %:</t>
  </si>
  <si>
    <t>от стоимости закупки у компании</t>
  </si>
  <si>
    <t>Бонус за наценку %</t>
  </si>
  <si>
    <t xml:space="preserve">При покупке оптовым клиентом в магазине цена дается оптовая. Она ниже, чем в магазине, в большинстве случаев. </t>
  </si>
  <si>
    <t>В этом случае Магазин формирует прибыль на основании разделения БП.</t>
  </si>
  <si>
    <t>Менеджеру выгодно отдать сделку в магазин, т.к. дает доп. скидку без потерь для себя.</t>
  </si>
  <si>
    <t>Главное. Все реальные складские остатки висят на магазине. Если клиент хочет сегодня, то только в магазине можно купить.</t>
  </si>
  <si>
    <t>Естественно, привезенный товар стоит дороже.</t>
  </si>
  <si>
    <t>минус проценты за кредит компании,       =</t>
  </si>
  <si>
    <t>за месяц</t>
  </si>
  <si>
    <t>минус вмененный налог</t>
  </si>
  <si>
    <t xml:space="preserve">           =</t>
  </si>
  <si>
    <t>ИТОГО Прибыль ЦФУ:</t>
  </si>
  <si>
    <t>Средняя скидка %:</t>
  </si>
  <si>
    <t>мин з/п</t>
  </si>
  <si>
    <t>Минимальный оборот магазина без скидок - 435 000 рублей (должен сам продать)</t>
  </si>
  <si>
    <t>Минимальный оборот магазина со скидкой 10% - 1 млн. рублей (продажи менеджеров через магазин)</t>
  </si>
  <si>
    <t>Просчитать компенсацию</t>
  </si>
  <si>
    <r>
      <t xml:space="preserve">Даем компенсацию магазину на разницу цен при оптовом покупателе при продаже менеджера. </t>
    </r>
    <r>
      <rPr>
        <b/>
        <sz val="10"/>
        <rFont val="Arial Cyr"/>
        <family val="0"/>
      </rPr>
      <t>Рентабельность уменьшится соответственно!</t>
    </r>
  </si>
  <si>
    <t>Итого з/п:</t>
  </si>
  <si>
    <t>минус доставка в магазин со склада</t>
  </si>
  <si>
    <t>Покупают у компании с наценкой %:</t>
  </si>
  <si>
    <t>% наценка от закупки со скидкой</t>
  </si>
  <si>
    <t>на ЦФУ ПРОДАЖИ</t>
  </si>
  <si>
    <t>Окупаемость млн.</t>
  </si>
  <si>
    <t>8,1, если+5000 и 0,4%</t>
  </si>
  <si>
    <t>7,7, если +6500 и 0,4%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</si>
</sst>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"/>
    <numFmt numFmtId="165" formatCode="#,##0&quot;р.&quot;"/>
    <numFmt numFmtId="166" formatCode="0.000%"/>
    <numFmt numFmtId="167" formatCode="#,##0.00&quot;р.&quot;"/>
    <numFmt numFmtId="168" formatCode="#,##0.000&quot;р.&quot;"/>
    <numFmt numFmtId="169" formatCode="#,##0.000"/>
    <numFmt numFmtId="170" formatCode="0.000000"/>
    <numFmt numFmtId="171" formatCode="0.00000"/>
    <numFmt numFmtId="172" formatCode="0.0000"/>
    <numFmt numFmtId="173" formatCode="0.000"/>
    <numFmt numFmtId="174" formatCode="#,##0.000_р_."/>
    <numFmt numFmtId="175" formatCode="_-* #,##0.000&quot;р.&quot;_-;\-* #,##0.000&quot;р.&quot;_-;_-* &quot;-&quot;???&quot;р.&quot;_-;_-@_-"/>
    <numFmt numFmtId="176" formatCode="0.0"/>
    <numFmt numFmtId="177" formatCode="_-* #,##0.0_р_._-;\-* #,##0.0_р_._-;_-* &quot;-&quot;??_р_._-;_-@_-"/>
    <numFmt numFmtId="178" formatCode="_-* #,##0_р_._-;\-* #,##0_р_._-;_-* &quot;-&quot;??_р_._-;_-@_-"/>
    <numFmt numFmtId="179" formatCode="_-* #,##0.0000_р_._-;\-* #,##0.0000_р_._-;_-* &quot;-&quot;????_р_._-;_-@_-"/>
  </numFmts>
  <fonts count="8">
    <font>
      <sz val="10"/>
      <name val="Arial Cyr"/>
      <family val="0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b/>
      <u val="single"/>
      <sz val="10"/>
      <name val="Arial Cyr"/>
      <family val="0"/>
    </font>
    <font>
      <strike/>
      <sz val="10"/>
      <name val="Arial Cyr"/>
      <family val="0"/>
    </font>
    <font>
      <sz val="10"/>
      <color indexed="41"/>
      <name val="Arial Cyr"/>
      <family val="0"/>
    </font>
  </fonts>
  <fills count="1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03">
    <border>
      <left/>
      <right/>
      <top/>
      <bottom/>
      <diagonal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hair"/>
      <top style="hair"/>
      <bottom style="hair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3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164" fontId="0" fillId="2" borderId="4" xfId="0" applyNumberForma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3" borderId="7" xfId="0" applyFill="1" applyBorder="1" applyAlignment="1">
      <alignment/>
    </xf>
    <xf numFmtId="3" fontId="0" fillId="3" borderId="8" xfId="0" applyNumberFormat="1" applyFill="1" applyBorder="1" applyAlignment="1">
      <alignment/>
    </xf>
    <xf numFmtId="0" fontId="0" fillId="3" borderId="8" xfId="0" applyFill="1" applyBorder="1" applyAlignment="1">
      <alignment/>
    </xf>
    <xf numFmtId="0" fontId="0" fillId="4" borderId="0" xfId="0" applyFill="1" applyAlignment="1">
      <alignment/>
    </xf>
    <xf numFmtId="0" fontId="0" fillId="3" borderId="0" xfId="0" applyFill="1" applyAlignment="1">
      <alignment/>
    </xf>
    <xf numFmtId="3" fontId="0" fillId="3" borderId="0" xfId="0" applyNumberFormat="1" applyFill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3" borderId="16" xfId="0" applyFill="1" applyBorder="1" applyAlignment="1">
      <alignment/>
    </xf>
    <xf numFmtId="0" fontId="0" fillId="3" borderId="16" xfId="0" applyFill="1" applyBorder="1" applyAlignment="1">
      <alignment horizontal="right"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3" fontId="0" fillId="4" borderId="4" xfId="0" applyNumberFormat="1" applyFill="1" applyBorder="1" applyAlignment="1">
      <alignment/>
    </xf>
    <xf numFmtId="4" fontId="0" fillId="4" borderId="4" xfId="0" applyNumberFormat="1" applyFill="1" applyBorder="1" applyAlignment="1">
      <alignment/>
    </xf>
    <xf numFmtId="3" fontId="0" fillId="4" borderId="6" xfId="0" applyNumberFormat="1" applyFill="1" applyBorder="1" applyAlignment="1">
      <alignment/>
    </xf>
    <xf numFmtId="4" fontId="0" fillId="4" borderId="6" xfId="0" applyNumberFormat="1" applyFill="1" applyBorder="1" applyAlignment="1">
      <alignment/>
    </xf>
    <xf numFmtId="0" fontId="0" fillId="4" borderId="4" xfId="0" applyFill="1" applyBorder="1" applyAlignment="1">
      <alignment/>
    </xf>
    <xf numFmtId="0" fontId="0" fillId="4" borderId="6" xfId="0" applyFill="1" applyBorder="1" applyAlignment="1">
      <alignment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4" fontId="0" fillId="0" borderId="21" xfId="0" applyNumberFormat="1" applyBorder="1" applyAlignment="1">
      <alignment/>
    </xf>
    <xf numFmtId="4" fontId="0" fillId="0" borderId="22" xfId="0" applyNumberFormat="1" applyBorder="1" applyAlignment="1">
      <alignment/>
    </xf>
    <xf numFmtId="0" fontId="0" fillId="0" borderId="0" xfId="0" applyBorder="1" applyAlignment="1">
      <alignment horizontal="center" wrapText="1"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4" fontId="0" fillId="0" borderId="26" xfId="0" applyNumberFormat="1" applyBorder="1" applyAlignment="1">
      <alignment/>
    </xf>
    <xf numFmtId="4" fontId="0" fillId="0" borderId="27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/>
    </xf>
    <xf numFmtId="4" fontId="4" fillId="5" borderId="28" xfId="0" applyNumberFormat="1" applyFont="1" applyFill="1" applyBorder="1" applyAlignment="1">
      <alignment/>
    </xf>
    <xf numFmtId="0" fontId="0" fillId="0" borderId="29" xfId="0" applyBorder="1" applyAlignment="1">
      <alignment/>
    </xf>
    <xf numFmtId="4" fontId="0" fillId="0" borderId="19" xfId="0" applyNumberFormat="1" applyBorder="1" applyAlignment="1">
      <alignment/>
    </xf>
    <xf numFmtId="0" fontId="0" fillId="0" borderId="30" xfId="0" applyBorder="1" applyAlignment="1">
      <alignment/>
    </xf>
    <xf numFmtId="0" fontId="0" fillId="0" borderId="27" xfId="0" applyBorder="1" applyAlignment="1">
      <alignment/>
    </xf>
    <xf numFmtId="0" fontId="0" fillId="0" borderId="31" xfId="0" applyBorder="1" applyAlignment="1">
      <alignment/>
    </xf>
    <xf numFmtId="0" fontId="0" fillId="0" borderId="28" xfId="0" applyBorder="1" applyAlignment="1">
      <alignment/>
    </xf>
    <xf numFmtId="0" fontId="0" fillId="0" borderId="32" xfId="0" applyBorder="1" applyAlignment="1">
      <alignment/>
    </xf>
    <xf numFmtId="9" fontId="0" fillId="0" borderId="28" xfId="0" applyNumberFormat="1" applyBorder="1" applyAlignment="1">
      <alignment/>
    </xf>
    <xf numFmtId="165" fontId="0" fillId="0" borderId="0" xfId="0" applyNumberFormat="1" applyAlignment="1">
      <alignment/>
    </xf>
    <xf numFmtId="165" fontId="2" fillId="5" borderId="0" xfId="0" applyNumberFormat="1" applyFont="1" applyFill="1" applyAlignment="1">
      <alignment/>
    </xf>
    <xf numFmtId="0" fontId="0" fillId="0" borderId="33" xfId="0" applyFill="1" applyBorder="1" applyAlignment="1">
      <alignment/>
    </xf>
    <xf numFmtId="165" fontId="0" fillId="0" borderId="20" xfId="0" applyNumberFormat="1" applyBorder="1" applyAlignment="1">
      <alignment/>
    </xf>
    <xf numFmtId="0" fontId="0" fillId="4" borderId="8" xfId="0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65" fontId="0" fillId="3" borderId="0" xfId="0" applyNumberFormat="1" applyFill="1" applyAlignment="1">
      <alignment/>
    </xf>
    <xf numFmtId="0" fontId="0" fillId="6" borderId="34" xfId="0" applyFill="1" applyBorder="1" applyAlignment="1">
      <alignment/>
    </xf>
    <xf numFmtId="165" fontId="0" fillId="6" borderId="35" xfId="0" applyNumberFormat="1" applyFill="1" applyBorder="1" applyAlignment="1">
      <alignment/>
    </xf>
    <xf numFmtId="165" fontId="0" fillId="6" borderId="36" xfId="0" applyNumberFormat="1" applyFill="1" applyBorder="1" applyAlignment="1">
      <alignment/>
    </xf>
    <xf numFmtId="0" fontId="0" fillId="6" borderId="37" xfId="0" applyFill="1" applyBorder="1" applyAlignment="1">
      <alignment horizontal="center"/>
    </xf>
    <xf numFmtId="0" fontId="0" fillId="6" borderId="38" xfId="0" applyFill="1" applyBorder="1" applyAlignment="1">
      <alignment horizontal="center"/>
    </xf>
    <xf numFmtId="0" fontId="0" fillId="6" borderId="39" xfId="0" applyFill="1" applyBorder="1" applyAlignment="1">
      <alignment horizontal="center"/>
    </xf>
    <xf numFmtId="0" fontId="0" fillId="0" borderId="0" xfId="0" applyFill="1" applyAlignment="1">
      <alignment/>
    </xf>
    <xf numFmtId="0" fontId="0" fillId="3" borderId="0" xfId="0" applyFill="1" applyAlignment="1">
      <alignment horizontal="right"/>
    </xf>
    <xf numFmtId="165" fontId="0" fillId="0" borderId="0" xfId="0" applyNumberFormat="1" applyAlignment="1">
      <alignment horizontal="left"/>
    </xf>
    <xf numFmtId="4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 horizontal="center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7" borderId="25" xfId="0" applyFill="1" applyBorder="1" applyAlignment="1">
      <alignment/>
    </xf>
    <xf numFmtId="0" fontId="0" fillId="0" borderId="44" xfId="0" applyBorder="1" applyAlignment="1">
      <alignment/>
    </xf>
    <xf numFmtId="0" fontId="0" fillId="7" borderId="45" xfId="0" applyFill="1" applyBorder="1" applyAlignment="1">
      <alignment/>
    </xf>
    <xf numFmtId="0" fontId="3" fillId="0" borderId="0" xfId="0" applyFont="1" applyAlignment="1">
      <alignment/>
    </xf>
    <xf numFmtId="2" fontId="0" fillId="0" borderId="46" xfId="0" applyNumberFormat="1" applyBorder="1" applyAlignment="1">
      <alignment/>
    </xf>
    <xf numFmtId="0" fontId="0" fillId="2" borderId="0" xfId="0" applyFont="1" applyFill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right"/>
    </xf>
    <xf numFmtId="165" fontId="0" fillId="0" borderId="0" xfId="0" applyNumberFormat="1" applyFill="1" applyBorder="1" applyAlignment="1">
      <alignment horizontal="left"/>
    </xf>
    <xf numFmtId="0" fontId="5" fillId="5" borderId="0" xfId="0" applyFont="1" applyFill="1" applyAlignment="1">
      <alignment/>
    </xf>
    <xf numFmtId="165" fontId="0" fillId="7" borderId="0" xfId="0" applyNumberFormat="1" applyFill="1" applyAlignment="1">
      <alignment/>
    </xf>
    <xf numFmtId="4" fontId="0" fillId="0" borderId="0" xfId="0" applyNumberFormat="1" applyAlignment="1">
      <alignment/>
    </xf>
    <xf numFmtId="0" fontId="4" fillId="5" borderId="0" xfId="0" applyFont="1" applyFill="1" applyAlignment="1">
      <alignment/>
    </xf>
    <xf numFmtId="165" fontId="0" fillId="2" borderId="0" xfId="0" applyNumberFormat="1" applyFill="1" applyAlignment="1">
      <alignment/>
    </xf>
    <xf numFmtId="165" fontId="2" fillId="3" borderId="0" xfId="0" applyNumberFormat="1" applyFont="1" applyFill="1" applyAlignment="1">
      <alignment/>
    </xf>
    <xf numFmtId="4" fontId="0" fillId="3" borderId="47" xfId="0" applyNumberFormat="1" applyFill="1" applyBorder="1" applyAlignment="1">
      <alignment/>
    </xf>
    <xf numFmtId="4" fontId="0" fillId="3" borderId="28" xfId="0" applyNumberFormat="1" applyFill="1" applyBorder="1" applyAlignment="1">
      <alignment/>
    </xf>
    <xf numFmtId="2" fontId="0" fillId="3" borderId="46" xfId="0" applyNumberFormat="1" applyFill="1" applyBorder="1" applyAlignment="1">
      <alignment/>
    </xf>
    <xf numFmtId="2" fontId="0" fillId="3" borderId="48" xfId="0" applyNumberFormat="1" applyFill="1" applyBorder="1" applyAlignment="1">
      <alignment/>
    </xf>
    <xf numFmtId="165" fontId="0" fillId="3" borderId="47" xfId="0" applyNumberFormat="1" applyFill="1" applyBorder="1" applyAlignment="1">
      <alignment/>
    </xf>
    <xf numFmtId="9" fontId="0" fillId="0" borderId="0" xfId="0" applyNumberFormat="1" applyAlignment="1">
      <alignment/>
    </xf>
    <xf numFmtId="10" fontId="0" fillId="0" borderId="0" xfId="0" applyNumberFormat="1" applyAlignment="1">
      <alignment/>
    </xf>
    <xf numFmtId="2" fontId="0" fillId="5" borderId="0" xfId="0" applyNumberFormat="1" applyFill="1" applyAlignment="1">
      <alignment/>
    </xf>
    <xf numFmtId="0" fontId="0" fillId="0" borderId="49" xfId="0" applyFont="1" applyFill="1" applyBorder="1" applyAlignment="1">
      <alignment/>
    </xf>
    <xf numFmtId="165" fontId="0" fillId="0" borderId="10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3" fontId="0" fillId="4" borderId="8" xfId="0" applyNumberFormat="1" applyFill="1" applyBorder="1" applyAlignment="1">
      <alignment/>
    </xf>
    <xf numFmtId="165" fontId="0" fillId="4" borderId="4" xfId="0" applyNumberFormat="1" applyFont="1" applyFill="1" applyBorder="1" applyAlignment="1">
      <alignment/>
    </xf>
    <xf numFmtId="165" fontId="0" fillId="4" borderId="8" xfId="0" applyNumberFormat="1" applyFont="1" applyFill="1" applyBorder="1" applyAlignment="1">
      <alignment/>
    </xf>
    <xf numFmtId="165" fontId="0" fillId="4" borderId="6" xfId="0" applyNumberFormat="1" applyFont="1" applyFill="1" applyBorder="1" applyAlignment="1">
      <alignment/>
    </xf>
    <xf numFmtId="165" fontId="0" fillId="4" borderId="0" xfId="0" applyNumberFormat="1" applyFill="1" applyAlignment="1">
      <alignment/>
    </xf>
    <xf numFmtId="4" fontId="0" fillId="4" borderId="28" xfId="0" applyNumberFormat="1" applyFill="1" applyBorder="1" applyAlignment="1">
      <alignment/>
    </xf>
    <xf numFmtId="4" fontId="0" fillId="4" borderId="50" xfId="0" applyNumberFormat="1" applyFill="1" applyBorder="1" applyAlignment="1">
      <alignment/>
    </xf>
    <xf numFmtId="4" fontId="0" fillId="4" borderId="30" xfId="0" applyNumberFormat="1" applyFill="1" applyBorder="1" applyAlignment="1">
      <alignment/>
    </xf>
    <xf numFmtId="2" fontId="0" fillId="4" borderId="20" xfId="0" applyNumberFormat="1" applyFill="1" applyBorder="1" applyAlignment="1">
      <alignment/>
    </xf>
    <xf numFmtId="0" fontId="0" fillId="4" borderId="20" xfId="0" applyFill="1" applyBorder="1" applyAlignment="1">
      <alignment/>
    </xf>
    <xf numFmtId="2" fontId="0" fillId="4" borderId="50" xfId="0" applyNumberFormat="1" applyFill="1" applyBorder="1" applyAlignment="1">
      <alignment/>
    </xf>
    <xf numFmtId="0" fontId="0" fillId="4" borderId="21" xfId="0" applyFill="1" applyBorder="1" applyAlignment="1">
      <alignment/>
    </xf>
    <xf numFmtId="0" fontId="0" fillId="4" borderId="51" xfId="0" applyFill="1" applyBorder="1" applyAlignment="1">
      <alignment/>
    </xf>
    <xf numFmtId="0" fontId="0" fillId="4" borderId="52" xfId="0" applyFill="1" applyBorder="1" applyAlignment="1">
      <alignment/>
    </xf>
    <xf numFmtId="0" fontId="0" fillId="4" borderId="53" xfId="0" applyFill="1" applyBorder="1" applyAlignment="1">
      <alignment/>
    </xf>
    <xf numFmtId="0" fontId="0" fillId="4" borderId="16" xfId="0" applyFill="1" applyBorder="1" applyAlignment="1">
      <alignment/>
    </xf>
    <xf numFmtId="0" fontId="0" fillId="4" borderId="54" xfId="0" applyFill="1" applyBorder="1" applyAlignment="1">
      <alignment/>
    </xf>
    <xf numFmtId="0" fontId="0" fillId="4" borderId="55" xfId="0" applyFill="1" applyBorder="1" applyAlignment="1">
      <alignment/>
    </xf>
    <xf numFmtId="0" fontId="0" fillId="8" borderId="0" xfId="0" applyFill="1" applyAlignment="1">
      <alignment/>
    </xf>
    <xf numFmtId="0" fontId="3" fillId="8" borderId="0" xfId="0" applyFont="1" applyFill="1" applyAlignment="1">
      <alignment/>
    </xf>
    <xf numFmtId="0" fontId="0" fillId="8" borderId="24" xfId="0" applyFill="1" applyBorder="1" applyAlignment="1">
      <alignment/>
    </xf>
    <xf numFmtId="167" fontId="0" fillId="0" borderId="0" xfId="0" applyNumberFormat="1" applyAlignment="1">
      <alignment/>
    </xf>
    <xf numFmtId="167" fontId="0" fillId="0" borderId="0" xfId="0" applyNumberFormat="1" applyFill="1" applyAlignment="1">
      <alignment/>
    </xf>
    <xf numFmtId="0" fontId="0" fillId="5" borderId="0" xfId="0" applyFill="1" applyAlignment="1">
      <alignment/>
    </xf>
    <xf numFmtId="4" fontId="0" fillId="0" borderId="0" xfId="0" applyNumberFormat="1" applyFill="1" applyAlignment="1">
      <alignment/>
    </xf>
    <xf numFmtId="0" fontId="0" fillId="0" borderId="0" xfId="0" applyNumberFormat="1" applyAlignment="1">
      <alignment/>
    </xf>
    <xf numFmtId="0" fontId="0" fillId="0" borderId="0" xfId="0" applyFill="1" applyAlignment="1">
      <alignment horizontal="right"/>
    </xf>
    <xf numFmtId="165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 horizontal="right"/>
    </xf>
    <xf numFmtId="165" fontId="0" fillId="2" borderId="4" xfId="0" applyNumberFormat="1" applyFill="1" applyBorder="1" applyAlignment="1">
      <alignment/>
    </xf>
    <xf numFmtId="165" fontId="0" fillId="3" borderId="8" xfId="0" applyNumberFormat="1" applyFill="1" applyBorder="1" applyAlignment="1">
      <alignment/>
    </xf>
    <xf numFmtId="9" fontId="0" fillId="0" borderId="0" xfId="0" applyNumberFormat="1" applyFill="1" applyAlignment="1">
      <alignment/>
    </xf>
    <xf numFmtId="0" fontId="0" fillId="0" borderId="0" xfId="0" applyNumberFormat="1" applyFill="1" applyAlignment="1">
      <alignment/>
    </xf>
    <xf numFmtId="168" fontId="0" fillId="0" borderId="0" xfId="0" applyNumberFormat="1" applyAlignment="1">
      <alignment/>
    </xf>
    <xf numFmtId="168" fontId="0" fillId="3" borderId="0" xfId="0" applyNumberFormat="1" applyFill="1" applyAlignment="1">
      <alignment/>
    </xf>
    <xf numFmtId="168" fontId="4" fillId="3" borderId="0" xfId="0" applyNumberFormat="1" applyFont="1" applyFill="1" applyAlignment="1">
      <alignment/>
    </xf>
    <xf numFmtId="0" fontId="0" fillId="2" borderId="16" xfId="0" applyFill="1" applyBorder="1" applyAlignment="1">
      <alignment/>
    </xf>
    <xf numFmtId="0" fontId="0" fillId="4" borderId="56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26" xfId="0" applyFill="1" applyBorder="1" applyAlignment="1">
      <alignment/>
    </xf>
    <xf numFmtId="0" fontId="0" fillId="4" borderId="24" xfId="0" applyFill="1" applyBorder="1" applyAlignment="1">
      <alignment/>
    </xf>
    <xf numFmtId="0" fontId="0" fillId="4" borderId="57" xfId="0" applyFill="1" applyBorder="1" applyAlignment="1">
      <alignment/>
    </xf>
    <xf numFmtId="0" fontId="0" fillId="4" borderId="58" xfId="0" applyFill="1" applyBorder="1" applyAlignment="1">
      <alignment/>
    </xf>
    <xf numFmtId="0" fontId="0" fillId="4" borderId="59" xfId="0" applyFill="1" applyBorder="1" applyAlignment="1">
      <alignment/>
    </xf>
    <xf numFmtId="0" fontId="0" fillId="4" borderId="60" xfId="0" applyFill="1" applyBorder="1" applyAlignment="1">
      <alignment/>
    </xf>
    <xf numFmtId="0" fontId="7" fillId="4" borderId="0" xfId="0" applyFont="1" applyFill="1" applyBorder="1" applyAlignment="1">
      <alignment/>
    </xf>
    <xf numFmtId="0" fontId="7" fillId="4" borderId="10" xfId="0" applyFont="1" applyFill="1" applyBorder="1" applyAlignment="1">
      <alignment/>
    </xf>
    <xf numFmtId="0" fontId="7" fillId="4" borderId="61" xfId="0" applyFont="1" applyFill="1" applyBorder="1" applyAlignment="1">
      <alignment/>
    </xf>
    <xf numFmtId="0" fontId="7" fillId="4" borderId="47" xfId="0" applyFont="1" applyFill="1" applyBorder="1" applyAlignment="1">
      <alignment/>
    </xf>
    <xf numFmtId="0" fontId="7" fillId="4" borderId="26" xfId="0" applyFont="1" applyFill="1" applyBorder="1" applyAlignment="1">
      <alignment/>
    </xf>
    <xf numFmtId="0" fontId="0" fillId="3" borderId="0" xfId="0" applyFill="1" applyAlignment="1">
      <alignment horizontal="left"/>
    </xf>
    <xf numFmtId="169" fontId="0" fillId="4" borderId="4" xfId="0" applyNumberFormat="1" applyFill="1" applyBorder="1" applyAlignment="1">
      <alignment/>
    </xf>
    <xf numFmtId="170" fontId="0" fillId="4" borderId="0" xfId="0" applyNumberFormat="1" applyFill="1" applyAlignment="1">
      <alignment/>
    </xf>
    <xf numFmtId="171" fontId="0" fillId="4" borderId="4" xfId="0" applyNumberFormat="1" applyFill="1" applyBorder="1" applyAlignment="1">
      <alignment/>
    </xf>
    <xf numFmtId="171" fontId="0" fillId="3" borderId="8" xfId="0" applyNumberFormat="1" applyFill="1" applyBorder="1" applyAlignment="1">
      <alignment/>
    </xf>
    <xf numFmtId="2" fontId="0" fillId="2" borderId="0" xfId="0" applyNumberFormat="1" applyFill="1" applyBorder="1" applyAlignment="1">
      <alignment/>
    </xf>
    <xf numFmtId="165" fontId="0" fillId="2" borderId="16" xfId="0" applyNumberFormat="1" applyFill="1" applyBorder="1" applyAlignment="1">
      <alignment/>
    </xf>
    <xf numFmtId="2" fontId="0" fillId="2" borderId="3" xfId="0" applyNumberFormat="1" applyFill="1" applyBorder="1" applyAlignment="1">
      <alignment/>
    </xf>
    <xf numFmtId="2" fontId="0" fillId="2" borderId="5" xfId="0" applyNumberFormat="1" applyFill="1" applyBorder="1" applyAlignment="1">
      <alignment/>
    </xf>
    <xf numFmtId="2" fontId="0" fillId="3" borderId="7" xfId="0" applyNumberFormat="1" applyFill="1" applyBorder="1" applyAlignment="1">
      <alignment/>
    </xf>
    <xf numFmtId="172" fontId="0" fillId="2" borderId="4" xfId="0" applyNumberFormat="1" applyFill="1" applyBorder="1" applyAlignment="1">
      <alignment/>
    </xf>
    <xf numFmtId="3" fontId="0" fillId="0" borderId="6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3" fontId="0" fillId="2" borderId="4" xfId="0" applyNumberFormat="1" applyFill="1" applyBorder="1" applyAlignment="1">
      <alignment/>
    </xf>
    <xf numFmtId="3" fontId="0" fillId="2" borderId="0" xfId="0" applyNumberFormat="1" applyFill="1" applyAlignment="1">
      <alignment/>
    </xf>
    <xf numFmtId="0" fontId="0" fillId="8" borderId="11" xfId="0" applyFill="1" applyBorder="1" applyAlignment="1">
      <alignment/>
    </xf>
    <xf numFmtId="0" fontId="0" fillId="8" borderId="12" xfId="0" applyFill="1" applyBorder="1" applyAlignment="1">
      <alignment/>
    </xf>
    <xf numFmtId="0" fontId="0" fillId="8" borderId="13" xfId="0" applyFill="1" applyBorder="1" applyAlignment="1">
      <alignment/>
    </xf>
    <xf numFmtId="3" fontId="0" fillId="2" borderId="0" xfId="0" applyNumberFormat="1" applyFill="1" applyBorder="1" applyAlignment="1">
      <alignment/>
    </xf>
    <xf numFmtId="3" fontId="0" fillId="2" borderId="6" xfId="0" applyNumberFormat="1" applyFill="1" applyBorder="1" applyAlignment="1">
      <alignment/>
    </xf>
    <xf numFmtId="164" fontId="0" fillId="2" borderId="0" xfId="0" applyNumberFormat="1" applyFill="1" applyBorder="1" applyAlignment="1">
      <alignment/>
    </xf>
    <xf numFmtId="0" fontId="0" fillId="2" borderId="0" xfId="0" applyFont="1" applyFill="1" applyAlignment="1">
      <alignment/>
    </xf>
    <xf numFmtId="3" fontId="0" fillId="8" borderId="0" xfId="0" applyNumberFormat="1" applyFill="1" applyAlignment="1">
      <alignment/>
    </xf>
    <xf numFmtId="3" fontId="0" fillId="4" borderId="0" xfId="0" applyNumberFormat="1" applyFill="1" applyBorder="1" applyAlignment="1">
      <alignment/>
    </xf>
    <xf numFmtId="0" fontId="0" fillId="2" borderId="18" xfId="0" applyFill="1" applyBorder="1" applyAlignment="1">
      <alignment/>
    </xf>
    <xf numFmtId="3" fontId="0" fillId="4" borderId="62" xfId="0" applyNumberFormat="1" applyFill="1" applyBorder="1" applyAlignment="1">
      <alignment/>
    </xf>
    <xf numFmtId="165" fontId="0" fillId="3" borderId="63" xfId="0" applyNumberFormat="1" applyFill="1" applyBorder="1" applyAlignment="1">
      <alignment/>
    </xf>
    <xf numFmtId="3" fontId="0" fillId="4" borderId="16" xfId="0" applyNumberFormat="1" applyFill="1" applyBorder="1" applyAlignment="1">
      <alignment/>
    </xf>
    <xf numFmtId="165" fontId="0" fillId="3" borderId="16" xfId="0" applyNumberFormat="1" applyFill="1" applyBorder="1" applyAlignment="1">
      <alignment/>
    </xf>
    <xf numFmtId="3" fontId="0" fillId="2" borderId="7" xfId="0" applyNumberFormat="1" applyFill="1" applyBorder="1" applyAlignment="1">
      <alignment/>
    </xf>
    <xf numFmtId="3" fontId="0" fillId="2" borderId="5" xfId="0" applyNumberFormat="1" applyFill="1" applyBorder="1" applyAlignment="1">
      <alignment/>
    </xf>
    <xf numFmtId="0" fontId="0" fillId="3" borderId="16" xfId="0" applyNumberFormat="1" applyFill="1" applyBorder="1" applyAlignment="1">
      <alignment/>
    </xf>
    <xf numFmtId="172" fontId="0" fillId="3" borderId="4" xfId="0" applyNumberFormat="1" applyFill="1" applyBorder="1" applyAlignment="1">
      <alignment/>
    </xf>
    <xf numFmtId="0" fontId="0" fillId="3" borderId="12" xfId="0" applyNumberFormat="1" applyFill="1" applyBorder="1" applyAlignment="1">
      <alignment/>
    </xf>
    <xf numFmtId="0" fontId="0" fillId="3" borderId="13" xfId="0" applyFill="1" applyBorder="1" applyAlignment="1">
      <alignment/>
    </xf>
    <xf numFmtId="3" fontId="0" fillId="0" borderId="8" xfId="0" applyNumberFormat="1" applyFill="1" applyBorder="1" applyAlignment="1">
      <alignment/>
    </xf>
    <xf numFmtId="169" fontId="0" fillId="3" borderId="8" xfId="0" applyNumberFormat="1" applyFill="1" applyBorder="1" applyAlignment="1">
      <alignment/>
    </xf>
    <xf numFmtId="3" fontId="0" fillId="3" borderId="4" xfId="0" applyNumberFormat="1" applyFill="1" applyBorder="1" applyAlignment="1">
      <alignment/>
    </xf>
    <xf numFmtId="171" fontId="0" fillId="2" borderId="0" xfId="0" applyNumberFormat="1" applyFill="1" applyAlignment="1">
      <alignment/>
    </xf>
    <xf numFmtId="0" fontId="0" fillId="0" borderId="3" xfId="0" applyFill="1" applyBorder="1" applyAlignment="1">
      <alignment/>
    </xf>
    <xf numFmtId="0" fontId="0" fillId="5" borderId="2" xfId="0" applyFill="1" applyBorder="1" applyAlignment="1">
      <alignment/>
    </xf>
    <xf numFmtId="0" fontId="0" fillId="2" borderId="4" xfId="0" applyNumberFormat="1" applyFill="1" applyBorder="1" applyAlignment="1">
      <alignment/>
    </xf>
    <xf numFmtId="0" fontId="0" fillId="7" borderId="4" xfId="0" applyNumberFormat="1" applyFill="1" applyBorder="1" applyAlignment="1">
      <alignment/>
    </xf>
    <xf numFmtId="0" fontId="0" fillId="3" borderId="8" xfId="0" applyNumberFormat="1" applyFill="1" applyBorder="1" applyAlignment="1">
      <alignment/>
    </xf>
    <xf numFmtId="9" fontId="0" fillId="2" borderId="0" xfId="0" applyNumberFormat="1" applyFill="1" applyAlignment="1">
      <alignment/>
    </xf>
    <xf numFmtId="0" fontId="0" fillId="4" borderId="0" xfId="0" applyFill="1" applyAlignment="1">
      <alignment horizontal="left"/>
    </xf>
    <xf numFmtId="0" fontId="0" fillId="0" borderId="0" xfId="0" applyAlignment="1">
      <alignment wrapText="1"/>
    </xf>
    <xf numFmtId="0" fontId="0" fillId="0" borderId="16" xfId="0" applyBorder="1" applyAlignment="1">
      <alignment/>
    </xf>
    <xf numFmtId="3" fontId="0" fillId="0" borderId="0" xfId="0" applyNumberFormat="1" applyAlignment="1">
      <alignment/>
    </xf>
    <xf numFmtId="3" fontId="0" fillId="4" borderId="56" xfId="0" applyNumberFormat="1" applyFill="1" applyBorder="1" applyAlignment="1">
      <alignment horizontal="left"/>
    </xf>
    <xf numFmtId="3" fontId="0" fillId="4" borderId="64" xfId="0" applyNumberFormat="1" applyFill="1" applyBorder="1" applyAlignment="1">
      <alignment horizontal="left"/>
    </xf>
    <xf numFmtId="3" fontId="0" fillId="2" borderId="23" xfId="0" applyNumberFormat="1" applyFill="1" applyBorder="1" applyAlignment="1">
      <alignment/>
    </xf>
    <xf numFmtId="3" fontId="0" fillId="2" borderId="65" xfId="0" applyNumberFormat="1" applyFill="1" applyBorder="1" applyAlignment="1">
      <alignment/>
    </xf>
    <xf numFmtId="3" fontId="0" fillId="2" borderId="40" xfId="0" applyNumberFormat="1" applyFill="1" applyBorder="1" applyAlignment="1">
      <alignment/>
    </xf>
    <xf numFmtId="3" fontId="0" fillId="2" borderId="66" xfId="0" applyNumberFormat="1" applyFill="1" applyBorder="1" applyAlignment="1">
      <alignment/>
    </xf>
    <xf numFmtId="3" fontId="0" fillId="2" borderId="67" xfId="0" applyNumberFormat="1" applyFill="1" applyBorder="1" applyAlignment="1">
      <alignment/>
    </xf>
    <xf numFmtId="3" fontId="0" fillId="3" borderId="68" xfId="0" applyNumberFormat="1" applyFill="1" applyBorder="1" applyAlignment="1">
      <alignment/>
    </xf>
    <xf numFmtId="3" fontId="0" fillId="3" borderId="26" xfId="0" applyNumberFormat="1" applyFill="1" applyBorder="1" applyAlignment="1">
      <alignment/>
    </xf>
    <xf numFmtId="3" fontId="0" fillId="0" borderId="40" xfId="0" applyNumberFormat="1" applyBorder="1" applyAlignment="1">
      <alignment/>
    </xf>
    <xf numFmtId="3" fontId="0" fillId="4" borderId="54" xfId="0" applyNumberFormat="1" applyFill="1" applyBorder="1" applyAlignment="1">
      <alignment/>
    </xf>
    <xf numFmtId="3" fontId="0" fillId="0" borderId="23" xfId="0" applyNumberFormat="1" applyBorder="1" applyAlignment="1">
      <alignment/>
    </xf>
    <xf numFmtId="3" fontId="0" fillId="3" borderId="5" xfId="0" applyNumberFormat="1" applyFill="1" applyBorder="1" applyAlignment="1">
      <alignment/>
    </xf>
    <xf numFmtId="3" fontId="0" fillId="2" borderId="16" xfId="0" applyNumberFormat="1" applyFill="1" applyBorder="1" applyAlignment="1">
      <alignment/>
    </xf>
    <xf numFmtId="3" fontId="0" fillId="2" borderId="69" xfId="0" applyNumberFormat="1" applyFill="1" applyBorder="1" applyAlignment="1">
      <alignment horizontal="center"/>
    </xf>
    <xf numFmtId="3" fontId="0" fillId="2" borderId="70" xfId="0" applyNumberFormat="1" applyFill="1" applyBorder="1" applyAlignment="1">
      <alignment horizontal="center"/>
    </xf>
    <xf numFmtId="3" fontId="0" fillId="2" borderId="71" xfId="0" applyNumberFormat="1" applyFill="1" applyBorder="1" applyAlignment="1">
      <alignment horizontal="center"/>
    </xf>
    <xf numFmtId="3" fontId="0" fillId="2" borderId="39" xfId="0" applyNumberFormat="1" applyFill="1" applyBorder="1" applyAlignment="1">
      <alignment horizontal="center"/>
    </xf>
    <xf numFmtId="3" fontId="0" fillId="2" borderId="72" xfId="0" applyNumberFormat="1" applyFill="1" applyBorder="1" applyAlignment="1">
      <alignment horizontal="center"/>
    </xf>
    <xf numFmtId="3" fontId="0" fillId="2" borderId="37" xfId="0" applyNumberFormat="1" applyFill="1" applyBorder="1" applyAlignment="1">
      <alignment horizontal="center"/>
    </xf>
    <xf numFmtId="3" fontId="0" fillId="3" borderId="59" xfId="0" applyNumberFormat="1" applyFill="1" applyBorder="1" applyAlignment="1">
      <alignment/>
    </xf>
    <xf numFmtId="3" fontId="0" fillId="2" borderId="50" xfId="0" applyNumberFormat="1" applyFill="1" applyBorder="1" applyAlignment="1">
      <alignment/>
    </xf>
    <xf numFmtId="3" fontId="0" fillId="3" borderId="21" xfId="0" applyNumberFormat="1" applyFill="1" applyBorder="1" applyAlignment="1">
      <alignment/>
    </xf>
    <xf numFmtId="3" fontId="0" fillId="3" borderId="22" xfId="0" applyNumberFormat="1" applyFill="1" applyBorder="1" applyAlignment="1">
      <alignment/>
    </xf>
    <xf numFmtId="3" fontId="0" fillId="0" borderId="73" xfId="0" applyNumberFormat="1" applyBorder="1" applyAlignment="1">
      <alignment/>
    </xf>
    <xf numFmtId="3" fontId="0" fillId="0" borderId="16" xfId="0" applyNumberFormat="1" applyFill="1" applyBorder="1" applyAlignment="1">
      <alignment/>
    </xf>
    <xf numFmtId="3" fontId="0" fillId="0" borderId="24" xfId="0" applyNumberFormat="1" applyFill="1" applyBorder="1" applyAlignment="1">
      <alignment/>
    </xf>
    <xf numFmtId="3" fontId="0" fillId="2" borderId="24" xfId="0" applyNumberFormat="1" applyFill="1" applyBorder="1" applyAlignment="1">
      <alignment/>
    </xf>
    <xf numFmtId="3" fontId="0" fillId="2" borderId="19" xfId="0" applyNumberFormat="1" applyFill="1" applyBorder="1" applyAlignment="1">
      <alignment/>
    </xf>
    <xf numFmtId="3" fontId="0" fillId="0" borderId="20" xfId="0" applyNumberFormat="1" applyFill="1" applyBorder="1" applyAlignment="1">
      <alignment/>
    </xf>
    <xf numFmtId="3" fontId="0" fillId="2" borderId="20" xfId="0" applyNumberFormat="1" applyFill="1" applyBorder="1" applyAlignment="1">
      <alignment/>
    </xf>
    <xf numFmtId="3" fontId="0" fillId="4" borderId="74" xfId="0" applyNumberFormat="1" applyFill="1" applyBorder="1" applyAlignment="1">
      <alignment/>
    </xf>
    <xf numFmtId="3" fontId="0" fillId="4" borderId="75" xfId="0" applyNumberFormat="1" applyFill="1" applyBorder="1" applyAlignment="1">
      <alignment/>
    </xf>
    <xf numFmtId="3" fontId="0" fillId="4" borderId="76" xfId="0" applyNumberFormat="1" applyFill="1" applyBorder="1" applyAlignment="1">
      <alignment/>
    </xf>
    <xf numFmtId="3" fontId="0" fillId="2" borderId="60" xfId="0" applyNumberFormat="1" applyFill="1" applyBorder="1" applyAlignment="1">
      <alignment/>
    </xf>
    <xf numFmtId="3" fontId="0" fillId="2" borderId="77" xfId="0" applyNumberFormat="1" applyFill="1" applyBorder="1" applyAlignment="1">
      <alignment/>
    </xf>
    <xf numFmtId="3" fontId="0" fillId="2" borderId="78" xfId="0" applyNumberFormat="1" applyFill="1" applyBorder="1" applyAlignment="1">
      <alignment/>
    </xf>
    <xf numFmtId="3" fontId="0" fillId="4" borderId="25" xfId="0" applyNumberFormat="1" applyFill="1" applyBorder="1" applyAlignment="1">
      <alignment/>
    </xf>
    <xf numFmtId="3" fontId="0" fillId="4" borderId="46" xfId="0" applyNumberFormat="1" applyFill="1" applyBorder="1" applyAlignment="1">
      <alignment/>
    </xf>
    <xf numFmtId="3" fontId="0" fillId="2" borderId="70" xfId="0" applyNumberFormat="1" applyFill="1" applyBorder="1" applyAlignment="1">
      <alignment/>
    </xf>
    <xf numFmtId="3" fontId="0" fillId="3" borderId="0" xfId="0" applyNumberFormat="1" applyFill="1" applyAlignment="1">
      <alignment horizontal="right"/>
    </xf>
    <xf numFmtId="3" fontId="0" fillId="3" borderId="0" xfId="0" applyNumberFormat="1" applyFill="1" applyAlignment="1">
      <alignment horizontal="left"/>
    </xf>
    <xf numFmtId="3" fontId="0" fillId="3" borderId="0" xfId="0" applyNumberFormat="1" applyFill="1" applyBorder="1" applyAlignment="1">
      <alignment/>
    </xf>
    <xf numFmtId="3" fontId="0" fillId="0" borderId="19" xfId="0" applyNumberFormat="1" applyBorder="1" applyAlignment="1">
      <alignment/>
    </xf>
    <xf numFmtId="3" fontId="0" fillId="7" borderId="79" xfId="0" applyNumberFormat="1" applyFill="1" applyBorder="1" applyAlignment="1">
      <alignment/>
    </xf>
    <xf numFmtId="3" fontId="0" fillId="7" borderId="80" xfId="0" applyNumberFormat="1" applyFill="1" applyBorder="1" applyAlignment="1">
      <alignment/>
    </xf>
    <xf numFmtId="3" fontId="0" fillId="7" borderId="81" xfId="0" applyNumberFormat="1" applyFill="1" applyBorder="1" applyAlignment="1">
      <alignment/>
    </xf>
    <xf numFmtId="3" fontId="3" fillId="2" borderId="82" xfId="0" applyNumberFormat="1" applyFont="1" applyFill="1" applyBorder="1" applyAlignment="1">
      <alignment/>
    </xf>
    <xf numFmtId="3" fontId="3" fillId="2" borderId="83" xfId="0" applyNumberFormat="1" applyFont="1" applyFill="1" applyBorder="1" applyAlignment="1">
      <alignment/>
    </xf>
    <xf numFmtId="3" fontId="3" fillId="2" borderId="84" xfId="0" applyNumberFormat="1" applyFont="1" applyFill="1" applyBorder="1" applyAlignment="1">
      <alignment/>
    </xf>
    <xf numFmtId="3" fontId="3" fillId="5" borderId="22" xfId="0" applyNumberFormat="1" applyFont="1" applyFill="1" applyBorder="1" applyAlignment="1">
      <alignment/>
    </xf>
    <xf numFmtId="4" fontId="0" fillId="7" borderId="80" xfId="0" applyNumberFormat="1" applyFill="1" applyBorder="1" applyAlignment="1">
      <alignment/>
    </xf>
    <xf numFmtId="4" fontId="0" fillId="7" borderId="81" xfId="0" applyNumberFormat="1" applyFill="1" applyBorder="1" applyAlignment="1">
      <alignment/>
    </xf>
    <xf numFmtId="4" fontId="0" fillId="5" borderId="81" xfId="0" applyNumberFormat="1" applyFill="1" applyBorder="1" applyAlignment="1">
      <alignment/>
    </xf>
    <xf numFmtId="4" fontId="0" fillId="7" borderId="85" xfId="0" applyNumberFormat="1" applyFill="1" applyBorder="1" applyAlignment="1">
      <alignment/>
    </xf>
    <xf numFmtId="3" fontId="0" fillId="0" borderId="23" xfId="0" applyNumberFormat="1" applyBorder="1" applyAlignment="1">
      <alignment horizontal="right"/>
    </xf>
    <xf numFmtId="4" fontId="0" fillId="8" borderId="23" xfId="0" applyNumberFormat="1" applyFill="1" applyBorder="1" applyAlignment="1">
      <alignment/>
    </xf>
    <xf numFmtId="4" fontId="0" fillId="8" borderId="41" xfId="0" applyNumberFormat="1" applyFill="1" applyBorder="1" applyAlignment="1">
      <alignment/>
    </xf>
    <xf numFmtId="4" fontId="0" fillId="8" borderId="40" xfId="0" applyNumberFormat="1" applyFill="1" applyBorder="1" applyAlignment="1">
      <alignment/>
    </xf>
    <xf numFmtId="4" fontId="0" fillId="8" borderId="19" xfId="0" applyNumberFormat="1" applyFill="1" applyBorder="1" applyAlignment="1">
      <alignment/>
    </xf>
    <xf numFmtId="3" fontId="0" fillId="0" borderId="23" xfId="0" applyNumberFormat="1" applyFill="1" applyBorder="1" applyAlignment="1">
      <alignment/>
    </xf>
    <xf numFmtId="3" fontId="0" fillId="0" borderId="43" xfId="0" applyNumberFormat="1" applyFill="1" applyBorder="1" applyAlignment="1">
      <alignment/>
    </xf>
    <xf numFmtId="3" fontId="0" fillId="8" borderId="23" xfId="0" applyNumberFormat="1" applyFill="1" applyBorder="1" applyAlignment="1">
      <alignment horizontal="left"/>
    </xf>
    <xf numFmtId="3" fontId="0" fillId="8" borderId="41" xfId="0" applyNumberFormat="1" applyFill="1" applyBorder="1" applyAlignment="1">
      <alignment horizontal="left"/>
    </xf>
    <xf numFmtId="3" fontId="0" fillId="8" borderId="40" xfId="0" applyNumberFormat="1" applyFill="1" applyBorder="1" applyAlignment="1">
      <alignment horizontal="left"/>
    </xf>
    <xf numFmtId="3" fontId="0" fillId="8" borderId="19" xfId="0" applyNumberFormat="1" applyFill="1" applyBorder="1" applyAlignment="1">
      <alignment horizontal="left"/>
    </xf>
    <xf numFmtId="167" fontId="0" fillId="0" borderId="16" xfId="0" applyNumberFormat="1" applyBorder="1" applyAlignment="1">
      <alignment/>
    </xf>
    <xf numFmtId="167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75" xfId="0" applyBorder="1" applyAlignment="1">
      <alignment/>
    </xf>
    <xf numFmtId="167" fontId="0" fillId="0" borderId="75" xfId="0" applyNumberFormat="1" applyBorder="1" applyAlignment="1">
      <alignment/>
    </xf>
    <xf numFmtId="167" fontId="0" fillId="0" borderId="85" xfId="0" applyNumberFormat="1" applyBorder="1" applyAlignment="1">
      <alignment/>
    </xf>
    <xf numFmtId="167" fontId="0" fillId="5" borderId="0" xfId="0" applyNumberFormat="1" applyFill="1" applyAlignment="1">
      <alignment/>
    </xf>
    <xf numFmtId="4" fontId="0" fillId="5" borderId="0" xfId="0" applyNumberFormat="1" applyFill="1" applyAlignment="1">
      <alignment/>
    </xf>
    <xf numFmtId="168" fontId="0" fillId="0" borderId="16" xfId="0" applyNumberFormat="1" applyBorder="1" applyAlignment="1">
      <alignment/>
    </xf>
    <xf numFmtId="168" fontId="0" fillId="0" borderId="40" xfId="0" applyNumberFormat="1" applyBorder="1" applyAlignment="1">
      <alignment/>
    </xf>
    <xf numFmtId="168" fontId="0" fillId="0" borderId="52" xfId="0" applyNumberFormat="1" applyBorder="1" applyAlignment="1">
      <alignment/>
    </xf>
    <xf numFmtId="0" fontId="0" fillId="0" borderId="30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168" fontId="0" fillId="0" borderId="72" xfId="0" applyNumberFormat="1" applyBorder="1" applyAlignment="1">
      <alignment/>
    </xf>
    <xf numFmtId="168" fontId="0" fillId="0" borderId="86" xfId="0" applyNumberFormat="1" applyBorder="1" applyAlignment="1">
      <alignment/>
    </xf>
    <xf numFmtId="0" fontId="0" fillId="0" borderId="80" xfId="0" applyBorder="1" applyAlignment="1">
      <alignment/>
    </xf>
    <xf numFmtId="173" fontId="0" fillId="5" borderId="27" xfId="0" applyNumberFormat="1" applyFill="1" applyBorder="1" applyAlignment="1">
      <alignment/>
    </xf>
    <xf numFmtId="173" fontId="0" fillId="5" borderId="31" xfId="0" applyNumberFormat="1" applyFill="1" applyBorder="1" applyAlignment="1">
      <alignment/>
    </xf>
    <xf numFmtId="173" fontId="0" fillId="5" borderId="42" xfId="0" applyNumberFormat="1" applyFill="1" applyBorder="1" applyAlignment="1">
      <alignment/>
    </xf>
    <xf numFmtId="173" fontId="0" fillId="5" borderId="87" xfId="0" applyNumberFormat="1" applyFill="1" applyBorder="1" applyAlignment="1">
      <alignment/>
    </xf>
    <xf numFmtId="173" fontId="0" fillId="3" borderId="27" xfId="0" applyNumberFormat="1" applyFill="1" applyBorder="1" applyAlignment="1">
      <alignment/>
    </xf>
    <xf numFmtId="0" fontId="0" fillId="0" borderId="31" xfId="0" applyBorder="1" applyAlignment="1">
      <alignment horizontal="center" vertical="center" wrapText="1"/>
    </xf>
    <xf numFmtId="0" fontId="0" fillId="0" borderId="52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72" xfId="0" applyNumberFormat="1" applyBorder="1" applyAlignment="1">
      <alignment/>
    </xf>
    <xf numFmtId="174" fontId="0" fillId="0" borderId="88" xfId="0" applyNumberFormat="1" applyBorder="1" applyAlignment="1">
      <alignment/>
    </xf>
    <xf numFmtId="174" fontId="0" fillId="0" borderId="75" xfId="0" applyNumberFormat="1" applyBorder="1" applyAlignment="1">
      <alignment/>
    </xf>
    <xf numFmtId="174" fontId="0" fillId="0" borderId="37" xfId="0" applyNumberFormat="1" applyBorder="1" applyAlignment="1">
      <alignment/>
    </xf>
    <xf numFmtId="174" fontId="0" fillId="5" borderId="27" xfId="0" applyNumberFormat="1" applyFill="1" applyBorder="1" applyAlignment="1">
      <alignment/>
    </xf>
    <xf numFmtId="168" fontId="0" fillId="0" borderId="21" xfId="0" applyNumberFormat="1" applyBorder="1" applyAlignment="1">
      <alignment/>
    </xf>
    <xf numFmtId="173" fontId="0" fillId="5" borderId="73" xfId="0" applyNumberFormat="1" applyFill="1" applyBorder="1" applyAlignment="1">
      <alignment/>
    </xf>
    <xf numFmtId="168" fontId="0" fillId="0" borderId="80" xfId="0" applyNumberFormat="1" applyBorder="1" applyAlignment="1">
      <alignment/>
    </xf>
    <xf numFmtId="168" fontId="0" fillId="0" borderId="81" xfId="0" applyNumberFormat="1" applyBorder="1" applyAlignment="1">
      <alignment/>
    </xf>
    <xf numFmtId="1" fontId="0" fillId="3" borderId="30" xfId="0" applyNumberFormat="1" applyFill="1" applyBorder="1" applyAlignment="1">
      <alignment/>
    </xf>
    <xf numFmtId="168" fontId="0" fillId="0" borderId="36" xfId="0" applyNumberFormat="1" applyBorder="1" applyAlignment="1">
      <alignment/>
    </xf>
    <xf numFmtId="168" fontId="0" fillId="0" borderId="35" xfId="0" applyNumberFormat="1" applyBorder="1" applyAlignment="1">
      <alignment/>
    </xf>
    <xf numFmtId="0" fontId="0" fillId="0" borderId="89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173" fontId="0" fillId="3" borderId="50" xfId="0" applyNumberFormat="1" applyFill="1" applyBorder="1" applyAlignment="1">
      <alignment/>
    </xf>
    <xf numFmtId="173" fontId="0" fillId="3" borderId="21" xfId="0" applyNumberFormat="1" applyFill="1" applyBorder="1" applyAlignment="1">
      <alignment/>
    </xf>
    <xf numFmtId="168" fontId="0" fillId="0" borderId="19" xfId="0" applyNumberFormat="1" applyBorder="1" applyAlignment="1">
      <alignment/>
    </xf>
    <xf numFmtId="168" fontId="0" fillId="0" borderId="20" xfId="0" applyNumberFormat="1" applyBorder="1" applyAlignment="1">
      <alignment/>
    </xf>
    <xf numFmtId="173" fontId="0" fillId="5" borderId="21" xfId="0" applyNumberFormat="1" applyFill="1" applyBorder="1" applyAlignment="1">
      <alignment/>
    </xf>
    <xf numFmtId="175" fontId="0" fillId="0" borderId="22" xfId="0" applyNumberFormat="1" applyBorder="1" applyAlignment="1">
      <alignment/>
    </xf>
    <xf numFmtId="168" fontId="0" fillId="7" borderId="88" xfId="0" applyNumberFormat="1" applyFill="1" applyBorder="1" applyAlignment="1">
      <alignment/>
    </xf>
    <xf numFmtId="175" fontId="0" fillId="7" borderId="54" xfId="0" applyNumberFormat="1" applyFill="1" applyBorder="1" applyAlignment="1">
      <alignment/>
    </xf>
    <xf numFmtId="175" fontId="0" fillId="7" borderId="46" xfId="0" applyNumberFormat="1" applyFill="1" applyBorder="1" applyAlignment="1">
      <alignment/>
    </xf>
    <xf numFmtId="168" fontId="0" fillId="4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6" xfId="0" applyBorder="1" applyAlignment="1">
      <alignment horizontal="center"/>
    </xf>
    <xf numFmtId="174" fontId="0" fillId="0" borderId="16" xfId="0" applyNumberFormat="1" applyBorder="1" applyAlignment="1">
      <alignment/>
    </xf>
    <xf numFmtId="0" fontId="0" fillId="0" borderId="40" xfId="0" applyBorder="1" applyAlignment="1">
      <alignment horizontal="center"/>
    </xf>
    <xf numFmtId="0" fontId="0" fillId="0" borderId="54" xfId="0" applyBorder="1" applyAlignment="1">
      <alignment horizontal="center"/>
    </xf>
    <xf numFmtId="174" fontId="0" fillId="4" borderId="40" xfId="0" applyNumberFormat="1" applyFill="1" applyBorder="1" applyAlignment="1">
      <alignment/>
    </xf>
    <xf numFmtId="174" fontId="0" fillId="0" borderId="54" xfId="0" applyNumberFormat="1" applyBorder="1" applyAlignment="1">
      <alignment/>
    </xf>
    <xf numFmtId="174" fontId="0" fillId="3" borderId="19" xfId="0" applyNumberFormat="1" applyFill="1" applyBorder="1" applyAlignment="1">
      <alignment/>
    </xf>
    <xf numFmtId="174" fontId="0" fillId="3" borderId="20" xfId="0" applyNumberFormat="1" applyFill="1" applyBorder="1" applyAlignment="1">
      <alignment/>
    </xf>
    <xf numFmtId="174" fontId="0" fillId="3" borderId="46" xfId="0" applyNumberFormat="1" applyFill="1" applyBorder="1" applyAlignment="1">
      <alignment/>
    </xf>
    <xf numFmtId="168" fontId="0" fillId="3" borderId="16" xfId="0" applyNumberFormat="1" applyFill="1" applyBorder="1" applyAlignment="1">
      <alignment/>
    </xf>
    <xf numFmtId="0" fontId="0" fillId="0" borderId="25" xfId="0" applyNumberFormat="1" applyBorder="1" applyAlignment="1">
      <alignment/>
    </xf>
    <xf numFmtId="0" fontId="0" fillId="0" borderId="54" xfId="0" applyNumberFormat="1" applyBorder="1" applyAlignment="1">
      <alignment/>
    </xf>
    <xf numFmtId="0" fontId="0" fillId="3" borderId="19" xfId="0" applyNumberFormat="1" applyFill="1" applyBorder="1" applyAlignment="1">
      <alignment/>
    </xf>
    <xf numFmtId="0" fontId="0" fillId="3" borderId="46" xfId="0" applyNumberFormat="1" applyFill="1" applyBorder="1" applyAlignment="1">
      <alignment/>
    </xf>
    <xf numFmtId="173" fontId="0" fillId="0" borderId="24" xfId="0" applyNumberFormat="1" applyBorder="1" applyAlignment="1">
      <alignment/>
    </xf>
    <xf numFmtId="173" fontId="0" fillId="0" borderId="16" xfId="0" applyNumberFormat="1" applyBorder="1" applyAlignment="1">
      <alignment/>
    </xf>
    <xf numFmtId="173" fontId="0" fillId="3" borderId="20" xfId="0" applyNumberFormat="1" applyFill="1" applyBorder="1" applyAlignment="1">
      <alignment/>
    </xf>
    <xf numFmtId="0" fontId="0" fillId="4" borderId="23" xfId="0" applyNumberFormat="1" applyFill="1" applyBorder="1" applyAlignment="1">
      <alignment/>
    </xf>
    <xf numFmtId="0" fontId="0" fillId="4" borderId="40" xfId="0" applyNumberFormat="1" applyFill="1" applyBorder="1" applyAlignment="1">
      <alignment/>
    </xf>
    <xf numFmtId="168" fontId="0" fillId="8" borderId="16" xfId="0" applyNumberFormat="1" applyFill="1" applyBorder="1" applyAlignment="1">
      <alignment/>
    </xf>
    <xf numFmtId="168" fontId="0" fillId="0" borderId="0" xfId="0" applyNumberFormat="1" applyFill="1" applyBorder="1" applyAlignment="1">
      <alignment/>
    </xf>
    <xf numFmtId="174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173" fontId="0" fillId="0" borderId="0" xfId="0" applyNumberFormat="1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vertical="center" wrapText="1"/>
    </xf>
    <xf numFmtId="168" fontId="0" fillId="0" borderId="16" xfId="0" applyNumberFormat="1" applyFill="1" applyBorder="1" applyAlignment="1">
      <alignment/>
    </xf>
    <xf numFmtId="174" fontId="0" fillId="0" borderId="16" xfId="0" applyNumberFormat="1" applyFill="1" applyBorder="1" applyAlignment="1">
      <alignment/>
    </xf>
    <xf numFmtId="0" fontId="0" fillId="0" borderId="16" xfId="0" applyNumberFormat="1" applyFill="1" applyBorder="1" applyAlignment="1">
      <alignment/>
    </xf>
    <xf numFmtId="0" fontId="0" fillId="0" borderId="19" xfId="0" applyFill="1" applyBorder="1" applyAlignment="1">
      <alignment horizontal="right"/>
    </xf>
    <xf numFmtId="0" fontId="0" fillId="0" borderId="90" xfId="0" applyFill="1" applyBorder="1" applyAlignment="1">
      <alignment horizontal="right"/>
    </xf>
    <xf numFmtId="168" fontId="0" fillId="0" borderId="70" xfId="0" applyNumberFormat="1" applyFill="1" applyBorder="1" applyAlignment="1">
      <alignment horizontal="center"/>
    </xf>
    <xf numFmtId="0" fontId="0" fillId="0" borderId="70" xfId="0" applyFill="1" applyBorder="1" applyAlignment="1">
      <alignment horizontal="center"/>
    </xf>
    <xf numFmtId="168" fontId="0" fillId="3" borderId="21" xfId="0" applyNumberFormat="1" applyFill="1" applyBorder="1" applyAlignment="1">
      <alignment/>
    </xf>
    <xf numFmtId="0" fontId="0" fillId="3" borderId="21" xfId="0" applyNumberFormat="1" applyFill="1" applyBorder="1" applyAlignment="1">
      <alignment/>
    </xf>
    <xf numFmtId="168" fontId="0" fillId="0" borderId="23" xfId="0" applyNumberFormat="1" applyFill="1" applyBorder="1" applyAlignment="1">
      <alignment/>
    </xf>
    <xf numFmtId="168" fontId="0" fillId="0" borderId="24" xfId="0" applyNumberFormat="1" applyFill="1" applyBorder="1" applyAlignment="1">
      <alignment/>
    </xf>
    <xf numFmtId="174" fontId="0" fillId="0" borderId="24" xfId="0" applyNumberFormat="1" applyFill="1" applyBorder="1" applyAlignment="1">
      <alignment/>
    </xf>
    <xf numFmtId="0" fontId="0" fillId="0" borderId="24" xfId="0" applyNumberFormat="1" applyFill="1" applyBorder="1" applyAlignment="1">
      <alignment/>
    </xf>
    <xf numFmtId="168" fontId="0" fillId="0" borderId="40" xfId="0" applyNumberFormat="1" applyFill="1" applyBorder="1" applyAlignment="1">
      <alignment/>
    </xf>
    <xf numFmtId="168" fontId="0" fillId="0" borderId="19" xfId="0" applyNumberFormat="1" applyFill="1" applyBorder="1" applyAlignment="1">
      <alignment/>
    </xf>
    <xf numFmtId="168" fontId="0" fillId="0" borderId="20" xfId="0" applyNumberFormat="1" applyFill="1" applyBorder="1" applyAlignment="1">
      <alignment/>
    </xf>
    <xf numFmtId="174" fontId="0" fillId="0" borderId="20" xfId="0" applyNumberFormat="1" applyFill="1" applyBorder="1" applyAlignment="1">
      <alignment/>
    </xf>
    <xf numFmtId="0" fontId="0" fillId="0" borderId="20" xfId="0" applyNumberFormat="1" applyFill="1" applyBorder="1" applyAlignment="1">
      <alignment/>
    </xf>
    <xf numFmtId="0" fontId="0" fillId="7" borderId="23" xfId="0" applyFill="1" applyBorder="1" applyAlignment="1">
      <alignment horizontal="right"/>
    </xf>
    <xf numFmtId="174" fontId="0" fillId="0" borderId="24" xfId="0" applyNumberFormat="1" applyBorder="1" applyAlignment="1">
      <alignment/>
    </xf>
    <xf numFmtId="168" fontId="0" fillId="3" borderId="0" xfId="0" applyNumberFormat="1" applyFill="1" applyBorder="1" applyAlignment="1">
      <alignment/>
    </xf>
    <xf numFmtId="0" fontId="0" fillId="0" borderId="16" xfId="0" applyFill="1" applyBorder="1" applyAlignment="1">
      <alignment vertical="center" wrapText="1"/>
    </xf>
    <xf numFmtId="173" fontId="0" fillId="0" borderId="16" xfId="0" applyNumberFormat="1" applyFill="1" applyBorder="1" applyAlignment="1">
      <alignment/>
    </xf>
    <xf numFmtId="173" fontId="0" fillId="3" borderId="16" xfId="0" applyNumberForma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16" xfId="0" applyFill="1" applyBorder="1" applyAlignment="1">
      <alignment/>
    </xf>
    <xf numFmtId="173" fontId="0" fillId="0" borderId="0" xfId="0" applyNumberFormat="1" applyAlignment="1">
      <alignment/>
    </xf>
    <xf numFmtId="0" fontId="0" fillId="3" borderId="0" xfId="0" applyFill="1" applyBorder="1" applyAlignment="1">
      <alignment/>
    </xf>
    <xf numFmtId="0" fontId="0" fillId="3" borderId="4" xfId="0" applyFill="1" applyBorder="1" applyAlignment="1">
      <alignment/>
    </xf>
    <xf numFmtId="164" fontId="0" fillId="3" borderId="4" xfId="0" applyNumberFormat="1" applyFill="1" applyBorder="1" applyAlignment="1">
      <alignment/>
    </xf>
    <xf numFmtId="0" fontId="0" fillId="5" borderId="4" xfId="0" applyNumberFormat="1" applyFill="1" applyBorder="1" applyAlignment="1">
      <alignment/>
    </xf>
    <xf numFmtId="0" fontId="0" fillId="0" borderId="0" xfId="0" applyFill="1" applyAlignment="1">
      <alignment horizontal="center"/>
    </xf>
    <xf numFmtId="0" fontId="0" fillId="2" borderId="0" xfId="0" applyFill="1" applyAlignment="1">
      <alignment horizontal="center"/>
    </xf>
    <xf numFmtId="178" fontId="0" fillId="2" borderId="0" xfId="18" applyNumberFormat="1" applyFill="1" applyAlignment="1">
      <alignment/>
    </xf>
    <xf numFmtId="3" fontId="0" fillId="2" borderId="15" xfId="0" applyNumberFormat="1" applyFill="1" applyBorder="1" applyAlignment="1">
      <alignment/>
    </xf>
    <xf numFmtId="3" fontId="0" fillId="2" borderId="10" xfId="0" applyNumberFormat="1" applyFill="1" applyBorder="1" applyAlignment="1">
      <alignment/>
    </xf>
    <xf numFmtId="3" fontId="0" fillId="2" borderId="13" xfId="0" applyNumberFormat="1" applyFill="1" applyBorder="1" applyAlignment="1">
      <alignment/>
    </xf>
    <xf numFmtId="0" fontId="0" fillId="4" borderId="0" xfId="0" applyFill="1" applyAlignment="1">
      <alignment horizontal="center"/>
    </xf>
    <xf numFmtId="174" fontId="0" fillId="0" borderId="0" xfId="0" applyNumberFormat="1" applyBorder="1" applyAlignment="1">
      <alignment/>
    </xf>
    <xf numFmtId="174" fontId="0" fillId="3" borderId="26" xfId="0" applyNumberFormat="1" applyFill="1" applyBorder="1" applyAlignment="1">
      <alignment/>
    </xf>
    <xf numFmtId="174" fontId="0" fillId="0" borderId="91" xfId="0" applyNumberFormat="1" applyBorder="1" applyAlignment="1">
      <alignment/>
    </xf>
    <xf numFmtId="174" fontId="0" fillId="0" borderId="92" xfId="0" applyNumberFormat="1" applyBorder="1" applyAlignment="1">
      <alignment/>
    </xf>
    <xf numFmtId="174" fontId="0" fillId="3" borderId="48" xfId="0" applyNumberFormat="1" applyFill="1" applyBorder="1" applyAlignment="1">
      <alignment/>
    </xf>
    <xf numFmtId="0" fontId="0" fillId="7" borderId="23" xfId="0" applyNumberFormat="1" applyFill="1" applyBorder="1" applyAlignment="1">
      <alignment/>
    </xf>
    <xf numFmtId="0" fontId="0" fillId="7" borderId="40" xfId="0" applyNumberFormat="1" applyFill="1" applyBorder="1" applyAlignment="1">
      <alignment/>
    </xf>
    <xf numFmtId="169" fontId="0" fillId="0" borderId="0" xfId="0" applyNumberFormat="1" applyFill="1" applyBorder="1" applyAlignment="1">
      <alignment/>
    </xf>
    <xf numFmtId="168" fontId="0" fillId="5" borderId="0" xfId="0" applyNumberFormat="1" applyFill="1" applyBorder="1" applyAlignment="1">
      <alignment/>
    </xf>
    <xf numFmtId="0" fontId="0" fillId="5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3" fontId="0" fillId="5" borderId="76" xfId="0" applyNumberFormat="1" applyFill="1" applyBorder="1" applyAlignment="1">
      <alignment/>
    </xf>
    <xf numFmtId="4" fontId="4" fillId="5" borderId="16" xfId="0" applyNumberFormat="1" applyFont="1" applyFill="1" applyBorder="1" applyAlignment="1">
      <alignment/>
    </xf>
    <xf numFmtId="179" fontId="3" fillId="9" borderId="16" xfId="0" applyNumberFormat="1" applyFont="1" applyFill="1" applyBorder="1" applyAlignment="1">
      <alignment/>
    </xf>
    <xf numFmtId="179" fontId="3" fillId="9" borderId="52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0" fillId="4" borderId="72" xfId="0" applyNumberFormat="1" applyFill="1" applyBorder="1" applyAlignment="1">
      <alignment/>
    </xf>
    <xf numFmtId="3" fontId="0" fillId="3" borderId="28" xfId="0" applyNumberFormat="1" applyFont="1" applyFill="1" applyBorder="1" applyAlignment="1">
      <alignment/>
    </xf>
    <xf numFmtId="179" fontId="3" fillId="9" borderId="72" xfId="0" applyNumberFormat="1" applyFont="1" applyFill="1" applyBorder="1" applyAlignment="1">
      <alignment/>
    </xf>
    <xf numFmtId="165" fontId="0" fillId="0" borderId="16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165" fontId="0" fillId="4" borderId="16" xfId="0" applyNumberFormat="1" applyFill="1" applyBorder="1" applyAlignment="1">
      <alignment/>
    </xf>
    <xf numFmtId="0" fontId="0" fillId="4" borderId="16" xfId="0" applyNumberFormat="1" applyFill="1" applyBorder="1" applyAlignment="1">
      <alignment/>
    </xf>
    <xf numFmtId="165" fontId="0" fillId="0" borderId="16" xfId="0" applyNumberFormat="1" applyBorder="1" applyAlignment="1">
      <alignment/>
    </xf>
    <xf numFmtId="165" fontId="0" fillId="3" borderId="16" xfId="0" applyNumberFormat="1" applyFont="1" applyFill="1" applyBorder="1" applyAlignment="1">
      <alignment/>
    </xf>
    <xf numFmtId="165" fontId="0" fillId="4" borderId="77" xfId="0" applyNumberForma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3" borderId="0" xfId="0" applyNumberFormat="1" applyFill="1" applyAlignment="1">
      <alignment/>
    </xf>
    <xf numFmtId="0" fontId="0" fillId="0" borderId="0" xfId="0" applyBorder="1" applyAlignment="1">
      <alignment horizontal="right"/>
    </xf>
    <xf numFmtId="6" fontId="0" fillId="4" borderId="0" xfId="0" applyNumberFormat="1" applyFill="1" applyAlignment="1">
      <alignment/>
    </xf>
    <xf numFmtId="0" fontId="0" fillId="4" borderId="83" xfId="0" applyFill="1" applyBorder="1" applyAlignment="1">
      <alignment/>
    </xf>
    <xf numFmtId="0" fontId="2" fillId="0" borderId="0" xfId="0" applyFont="1" applyAlignment="1">
      <alignment/>
    </xf>
    <xf numFmtId="3" fontId="0" fillId="3" borderId="16" xfId="0" applyNumberFormat="1" applyFill="1" applyBorder="1" applyAlignment="1">
      <alignment/>
    </xf>
    <xf numFmtId="0" fontId="0" fillId="4" borderId="0" xfId="0" applyNumberFormat="1" applyFill="1" applyAlignment="1">
      <alignment/>
    </xf>
    <xf numFmtId="0" fontId="0" fillId="3" borderId="35" xfId="0" applyFill="1" applyBorder="1" applyAlignment="1">
      <alignment/>
    </xf>
    <xf numFmtId="0" fontId="0" fillId="0" borderId="35" xfId="0" applyBorder="1" applyAlignment="1">
      <alignment/>
    </xf>
    <xf numFmtId="9" fontId="0" fillId="0" borderId="57" xfId="0" applyNumberFormat="1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9" fontId="0" fillId="0" borderId="29" xfId="0" applyNumberFormat="1" applyBorder="1" applyAlignment="1">
      <alignment horizontal="center"/>
    </xf>
    <xf numFmtId="9" fontId="0" fillId="0" borderId="56" xfId="0" applyNumberFormat="1" applyBorder="1" applyAlignment="1">
      <alignment horizontal="center"/>
    </xf>
    <xf numFmtId="165" fontId="0" fillId="3" borderId="59" xfId="0" applyNumberFormat="1" applyFill="1" applyBorder="1" applyAlignment="1">
      <alignment horizontal="center"/>
    </xf>
    <xf numFmtId="0" fontId="0" fillId="0" borderId="56" xfId="0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56" xfId="0" applyFill="1" applyBorder="1" applyAlignment="1">
      <alignment/>
    </xf>
    <xf numFmtId="0" fontId="0" fillId="0" borderId="57" xfId="0" applyFill="1" applyBorder="1" applyAlignment="1">
      <alignment/>
    </xf>
    <xf numFmtId="0" fontId="0" fillId="0" borderId="0" xfId="0" applyAlignment="1">
      <alignment horizontal="center"/>
    </xf>
    <xf numFmtId="165" fontId="0" fillId="3" borderId="47" xfId="0" applyNumberFormat="1" applyFill="1" applyBorder="1" applyAlignment="1">
      <alignment horizontal="center"/>
    </xf>
    <xf numFmtId="165" fontId="0" fillId="3" borderId="26" xfId="0" applyNumberFormat="1" applyFill="1" applyBorder="1" applyAlignment="1">
      <alignment horizontal="center"/>
    </xf>
    <xf numFmtId="165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57" xfId="0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0" fillId="0" borderId="59" xfId="0" applyBorder="1" applyAlignment="1">
      <alignment horizontal="center" wrapText="1"/>
    </xf>
    <xf numFmtId="2" fontId="0" fillId="3" borderId="93" xfId="0" applyNumberFormat="1" applyFill="1" applyBorder="1" applyAlignment="1">
      <alignment/>
    </xf>
    <xf numFmtId="2" fontId="0" fillId="3" borderId="32" xfId="0" applyNumberFormat="1" applyFill="1" applyBorder="1" applyAlignment="1">
      <alignment/>
    </xf>
    <xf numFmtId="2" fontId="0" fillId="3" borderId="64" xfId="0" applyNumberFormat="1" applyFill="1" applyBorder="1" applyAlignment="1">
      <alignment/>
    </xf>
    <xf numFmtId="0" fontId="0" fillId="8" borderId="23" xfId="0" applyFill="1" applyBorder="1" applyAlignment="1">
      <alignment horizontal="center" wrapText="1"/>
    </xf>
    <xf numFmtId="0" fontId="0" fillId="8" borderId="24" xfId="0" applyFill="1" applyBorder="1" applyAlignment="1">
      <alignment horizontal="center" wrapText="1"/>
    </xf>
    <xf numFmtId="0" fontId="0" fillId="0" borderId="91" xfId="0" applyBorder="1" applyAlignment="1">
      <alignment horizontal="center" wrapText="1"/>
    </xf>
    <xf numFmtId="0" fontId="0" fillId="0" borderId="92" xfId="0" applyBorder="1" applyAlignment="1">
      <alignment horizontal="center" wrapText="1"/>
    </xf>
    <xf numFmtId="0" fontId="0" fillId="0" borderId="94" xfId="0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4" fontId="0" fillId="3" borderId="31" xfId="0" applyNumberFormat="1" applyFill="1" applyBorder="1" applyAlignment="1">
      <alignment horizontal="center"/>
    </xf>
    <xf numFmtId="4" fontId="0" fillId="3" borderId="64" xfId="0" applyNumberFormat="1" applyFill="1" applyBorder="1" applyAlignment="1">
      <alignment horizontal="center"/>
    </xf>
    <xf numFmtId="0" fontId="0" fillId="0" borderId="29" xfId="0" applyFill="1" applyBorder="1" applyAlignment="1">
      <alignment/>
    </xf>
    <xf numFmtId="0" fontId="0" fillId="0" borderId="46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2" borderId="95" xfId="0" applyFill="1" applyBorder="1" applyAlignment="1">
      <alignment horizontal="center"/>
    </xf>
    <xf numFmtId="0" fontId="0" fillId="2" borderId="96" xfId="0" applyFill="1" applyBorder="1" applyAlignment="1">
      <alignment horizontal="center"/>
    </xf>
    <xf numFmtId="0" fontId="0" fillId="2" borderId="97" xfId="0" applyFill="1" applyBorder="1" applyAlignment="1">
      <alignment horizontal="center"/>
    </xf>
    <xf numFmtId="0" fontId="0" fillId="2" borderId="98" xfId="0" applyFill="1" applyBorder="1" applyAlignment="1">
      <alignment horizontal="center"/>
    </xf>
    <xf numFmtId="0" fontId="0" fillId="2" borderId="99" xfId="0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173" fontId="0" fillId="5" borderId="0" xfId="0" applyNumberFormat="1" applyFill="1" applyAlignment="1">
      <alignment/>
    </xf>
    <xf numFmtId="0" fontId="4" fillId="7" borderId="0" xfId="0" applyFont="1" applyFill="1" applyAlignment="1">
      <alignment/>
    </xf>
    <xf numFmtId="0" fontId="4" fillId="10" borderId="0" xfId="0" applyFont="1" applyFill="1" applyAlignment="1">
      <alignment/>
    </xf>
    <xf numFmtId="0" fontId="0" fillId="0" borderId="94" xfId="0" applyBorder="1" applyAlignment="1">
      <alignment horizontal="center"/>
    </xf>
    <xf numFmtId="0" fontId="0" fillId="0" borderId="82" xfId="0" applyBorder="1" applyAlignment="1">
      <alignment horizontal="center"/>
    </xf>
    <xf numFmtId="0" fontId="0" fillId="0" borderId="100" xfId="0" applyBorder="1" applyAlignment="1">
      <alignment horizontal="center"/>
    </xf>
    <xf numFmtId="0" fontId="0" fillId="0" borderId="57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91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92" xfId="0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3" fillId="9" borderId="75" xfId="0" applyFont="1" applyFill="1" applyBorder="1" applyAlignment="1">
      <alignment horizontal="right"/>
    </xf>
    <xf numFmtId="0" fontId="3" fillId="9" borderId="83" xfId="0" applyFont="1" applyFill="1" applyBorder="1" applyAlignment="1">
      <alignment horizontal="right"/>
    </xf>
    <xf numFmtId="0" fontId="3" fillId="9" borderId="77" xfId="0" applyFont="1" applyFill="1" applyBorder="1" applyAlignment="1">
      <alignment horizontal="right"/>
    </xf>
    <xf numFmtId="165" fontId="3" fillId="5" borderId="75" xfId="0" applyNumberFormat="1" applyFont="1" applyFill="1" applyBorder="1" applyAlignment="1">
      <alignment horizontal="center"/>
    </xf>
    <xf numFmtId="0" fontId="3" fillId="5" borderId="77" xfId="0" applyFont="1" applyFill="1" applyBorder="1" applyAlignment="1">
      <alignment horizontal="center"/>
    </xf>
    <xf numFmtId="0" fontId="0" fillId="0" borderId="83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6" xfId="0" applyBorder="1" applyAlignment="1">
      <alignment horizontal="center" vertical="center"/>
    </xf>
    <xf numFmtId="0" fontId="0" fillId="0" borderId="39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5" xfId="0" applyBorder="1" applyAlignment="1">
      <alignment horizontal="right"/>
    </xf>
    <xf numFmtId="0" fontId="0" fillId="0" borderId="33" xfId="0" applyBorder="1" applyAlignment="1">
      <alignment horizontal="center" vertical="center" wrapText="1"/>
    </xf>
    <xf numFmtId="0" fontId="0" fillId="0" borderId="16" xfId="0" applyBorder="1" applyAlignment="1">
      <alignment horizontal="center" wrapText="1"/>
    </xf>
    <xf numFmtId="3" fontId="0" fillId="8" borderId="69" xfId="0" applyNumberFormat="1" applyFill="1" applyBorder="1" applyAlignment="1">
      <alignment horizontal="center"/>
    </xf>
    <xf numFmtId="3" fontId="0" fillId="8" borderId="70" xfId="0" applyNumberFormat="1" applyFill="1" applyBorder="1" applyAlignment="1">
      <alignment horizontal="center"/>
    </xf>
    <xf numFmtId="3" fontId="0" fillId="8" borderId="89" xfId="0" applyNumberFormat="1" applyFill="1" applyBorder="1" applyAlignment="1">
      <alignment horizontal="center"/>
    </xf>
    <xf numFmtId="3" fontId="0" fillId="8" borderId="71" xfId="0" applyNumberFormat="1" applyFill="1" applyBorder="1" applyAlignment="1">
      <alignment horizontal="center"/>
    </xf>
    <xf numFmtId="3" fontId="0" fillId="8" borderId="101" xfId="0" applyNumberFormat="1" applyFill="1" applyBorder="1" applyAlignment="1">
      <alignment horizontal="center"/>
    </xf>
    <xf numFmtId="4" fontId="0" fillId="4" borderId="75" xfId="0" applyNumberFormat="1" applyFill="1" applyBorder="1" applyAlignment="1">
      <alignment/>
    </xf>
    <xf numFmtId="4" fontId="0" fillId="4" borderId="83" xfId="0" applyNumberFormat="1" applyFill="1" applyBorder="1" applyAlignment="1">
      <alignment/>
    </xf>
    <xf numFmtId="4" fontId="0" fillId="0" borderId="75" xfId="0" applyNumberFormat="1" applyBorder="1" applyAlignment="1">
      <alignment/>
    </xf>
    <xf numFmtId="4" fontId="0" fillId="0" borderId="102" xfId="0" applyNumberFormat="1" applyBorder="1" applyAlignment="1">
      <alignment/>
    </xf>
    <xf numFmtId="4" fontId="0" fillId="0" borderId="83" xfId="0" applyNumberFormat="1" applyBorder="1" applyAlignment="1">
      <alignment/>
    </xf>
    <xf numFmtId="4" fontId="0" fillId="4" borderId="102" xfId="0" applyNumberFormat="1" applyFill="1" applyBorder="1" applyAlignment="1">
      <alignment/>
    </xf>
    <xf numFmtId="4" fontId="0" fillId="3" borderId="20" xfId="0" applyNumberFormat="1" applyFill="1" applyBorder="1" applyAlignment="1">
      <alignment/>
    </xf>
    <xf numFmtId="4" fontId="0" fillId="3" borderId="46" xfId="0" applyNumberFormat="1" applyFill="1" applyBorder="1" applyAlignment="1">
      <alignment/>
    </xf>
    <xf numFmtId="4" fontId="0" fillId="0" borderId="16" xfId="0" applyNumberFormat="1" applyBorder="1" applyAlignment="1">
      <alignment/>
    </xf>
    <xf numFmtId="4" fontId="0" fillId="0" borderId="54" xfId="0" applyNumberFormat="1" applyBorder="1" applyAlignment="1">
      <alignment/>
    </xf>
    <xf numFmtId="4" fontId="0" fillId="4" borderId="16" xfId="0" applyNumberFormat="1" applyFill="1" applyBorder="1" applyAlignment="1">
      <alignment/>
    </xf>
    <xf numFmtId="4" fontId="0" fillId="4" borderId="54" xfId="0" applyNumberFormat="1" applyFill="1" applyBorder="1" applyAlignment="1">
      <alignment/>
    </xf>
    <xf numFmtId="4" fontId="0" fillId="11" borderId="16" xfId="0" applyNumberFormat="1" applyFill="1" applyBorder="1" applyAlignment="1">
      <alignment/>
    </xf>
    <xf numFmtId="4" fontId="0" fillId="11" borderId="54" xfId="0" applyNumberFormat="1" applyFill="1" applyBorder="1" applyAlignment="1">
      <alignment/>
    </xf>
    <xf numFmtId="169" fontId="0" fillId="4" borderId="16" xfId="0" applyNumberFormat="1" applyFill="1" applyBorder="1" applyAlignment="1">
      <alignment/>
    </xf>
    <xf numFmtId="169" fontId="0" fillId="4" borderId="54" xfId="0" applyNumberFormat="1" applyFill="1" applyBorder="1" applyAlignment="1">
      <alignment/>
    </xf>
    <xf numFmtId="3" fontId="0" fillId="4" borderId="24" xfId="0" applyNumberFormat="1" applyFill="1" applyBorder="1" applyAlignment="1">
      <alignment/>
    </xf>
    <xf numFmtId="3" fontId="0" fillId="4" borderId="74" xfId="0" applyNumberFormat="1" applyFill="1" applyBorder="1" applyAlignment="1">
      <alignment/>
    </xf>
    <xf numFmtId="3" fontId="0" fillId="4" borderId="20" xfId="0" applyNumberFormat="1" applyFill="1" applyBorder="1" applyAlignment="1">
      <alignment/>
    </xf>
    <xf numFmtId="3" fontId="0" fillId="4" borderId="76" xfId="0" applyNumberFormat="1" applyFill="1" applyBorder="1" applyAlignment="1">
      <alignment/>
    </xf>
    <xf numFmtId="4" fontId="0" fillId="0" borderId="24" xfId="0" applyNumberFormat="1" applyBorder="1" applyAlignment="1">
      <alignment/>
    </xf>
    <xf numFmtId="4" fontId="0" fillId="0" borderId="25" xfId="0" applyNumberFormat="1" applyBorder="1" applyAlignment="1">
      <alignment/>
    </xf>
    <xf numFmtId="4" fontId="0" fillId="0" borderId="74" xfId="0" applyNumberFormat="1" applyBorder="1" applyAlignment="1">
      <alignment/>
    </xf>
    <xf numFmtId="3" fontId="0" fillId="4" borderId="25" xfId="0" applyNumberFormat="1" applyFill="1" applyBorder="1" applyAlignment="1">
      <alignment/>
    </xf>
    <xf numFmtId="3" fontId="0" fillId="4" borderId="45" xfId="0" applyNumberFormat="1" applyFill="1" applyBorder="1" applyAlignment="1">
      <alignment/>
    </xf>
    <xf numFmtId="3" fontId="0" fillId="9" borderId="76" xfId="0" applyNumberFormat="1" applyFill="1" applyBorder="1" applyAlignment="1">
      <alignment/>
    </xf>
    <xf numFmtId="3" fontId="0" fillId="9" borderId="45" xfId="0" applyNumberFormat="1" applyFill="1" applyBorder="1" applyAlignment="1">
      <alignment/>
    </xf>
    <xf numFmtId="3" fontId="0" fillId="0" borderId="93" xfId="0" applyNumberFormat="1" applyBorder="1" applyAlignment="1">
      <alignment horizontal="right"/>
    </xf>
    <xf numFmtId="3" fontId="0" fillId="0" borderId="32" xfId="0" applyNumberFormat="1" applyBorder="1" applyAlignment="1">
      <alignment horizontal="right"/>
    </xf>
    <xf numFmtId="3" fontId="0" fillId="7" borderId="69" xfId="0" applyNumberFormat="1" applyFill="1" applyBorder="1" applyAlignment="1">
      <alignment horizontal="center"/>
    </xf>
    <xf numFmtId="3" fontId="0" fillId="7" borderId="70" xfId="0" applyNumberFormat="1" applyFill="1" applyBorder="1" applyAlignment="1">
      <alignment horizontal="center"/>
    </xf>
    <xf numFmtId="3" fontId="0" fillId="7" borderId="71" xfId="0" applyNumberFormat="1" applyFill="1" applyBorder="1" applyAlignment="1">
      <alignment horizontal="center"/>
    </xf>
    <xf numFmtId="3" fontId="0" fillId="2" borderId="29" xfId="0" applyNumberFormat="1" applyFill="1" applyBorder="1" applyAlignment="1">
      <alignment horizontal="center"/>
    </xf>
    <xf numFmtId="3" fontId="0" fillId="2" borderId="57" xfId="0" applyNumberFormat="1" applyFill="1" applyBorder="1" applyAlignment="1">
      <alignment horizontal="center"/>
    </xf>
    <xf numFmtId="3" fontId="0" fillId="7" borderId="89" xfId="0" applyNumberFormat="1" applyFill="1" applyBorder="1" applyAlignment="1">
      <alignment horizontal="center"/>
    </xf>
    <xf numFmtId="3" fontId="0" fillId="7" borderId="101" xfId="0" applyNumberFormat="1" applyFill="1" applyBorder="1" applyAlignment="1">
      <alignment horizontal="center"/>
    </xf>
    <xf numFmtId="3" fontId="0" fillId="0" borderId="29" xfId="0" applyNumberFormat="1" applyBorder="1" applyAlignment="1">
      <alignment horizontal="right"/>
    </xf>
    <xf numFmtId="3" fontId="0" fillId="0" borderId="56" xfId="0" applyNumberFormat="1" applyBorder="1" applyAlignment="1">
      <alignment horizontal="right"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 horizontal="right"/>
    </xf>
    <xf numFmtId="0" fontId="0" fillId="0" borderId="0" xfId="0" applyAlignment="1">
      <alignment/>
    </xf>
    <xf numFmtId="0" fontId="0" fillId="0" borderId="33" xfId="0" applyBorder="1" applyAlignment="1">
      <alignment/>
    </xf>
    <xf numFmtId="3" fontId="0" fillId="0" borderId="33" xfId="0" applyNumberFormat="1" applyBorder="1" applyAlignment="1">
      <alignment/>
    </xf>
    <xf numFmtId="0" fontId="0" fillId="0" borderId="69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89" xfId="0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75" xfId="0" applyBorder="1" applyAlignment="1">
      <alignment/>
    </xf>
    <xf numFmtId="0" fontId="0" fillId="0" borderId="83" xfId="0" applyBorder="1" applyAlignment="1">
      <alignment/>
    </xf>
    <xf numFmtId="0" fontId="0" fillId="0" borderId="77" xfId="0" applyBorder="1" applyAlignment="1">
      <alignment/>
    </xf>
    <xf numFmtId="0" fontId="0" fillId="0" borderId="16" xfId="0" applyBorder="1" applyAlignment="1">
      <alignment/>
    </xf>
    <xf numFmtId="168" fontId="0" fillId="0" borderId="0" xfId="0" applyNumberFormat="1" applyAlignment="1">
      <alignment/>
    </xf>
    <xf numFmtId="0" fontId="0" fillId="0" borderId="93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2" borderId="75" xfId="0" applyFill="1" applyBorder="1" applyAlignment="1">
      <alignment/>
    </xf>
    <xf numFmtId="0" fontId="0" fillId="2" borderId="83" xfId="0" applyFill="1" applyBorder="1" applyAlignment="1">
      <alignment/>
    </xf>
    <xf numFmtId="0" fontId="0" fillId="2" borderId="77" xfId="0" applyFill="1" applyBorder="1" applyAlignment="1">
      <alignment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0" fillId="4" borderId="29" xfId="0" applyFill="1" applyBorder="1" applyAlignment="1">
      <alignment/>
    </xf>
    <xf numFmtId="0" fontId="0" fillId="4" borderId="56" xfId="0" applyFill="1" applyBorder="1" applyAlignment="1">
      <alignment/>
    </xf>
    <xf numFmtId="0" fontId="0" fillId="4" borderId="57" xfId="0" applyFill="1" applyBorder="1" applyAlignment="1">
      <alignment/>
    </xf>
    <xf numFmtId="0" fontId="0" fillId="4" borderId="33" xfId="0" applyFill="1" applyBorder="1" applyAlignment="1">
      <alignment horizontal="center" wrapText="1"/>
    </xf>
    <xf numFmtId="0" fontId="0" fillId="4" borderId="0" xfId="0" applyFill="1" applyBorder="1" applyAlignment="1">
      <alignment horizontal="center" wrapText="1"/>
    </xf>
    <xf numFmtId="0" fontId="0" fillId="4" borderId="58" xfId="0" applyFill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workbookViewId="0" topLeftCell="A1">
      <selection activeCell="E5" sqref="E5"/>
    </sheetView>
  </sheetViews>
  <sheetFormatPr defaultColWidth="9.00390625" defaultRowHeight="12.75"/>
  <cols>
    <col min="1" max="1" width="16.25390625" style="0" customWidth="1"/>
    <col min="2" max="2" width="12.375" style="0" customWidth="1"/>
    <col min="3" max="3" width="11.75390625" style="0" bestFit="1" customWidth="1"/>
    <col min="4" max="4" width="12.375" style="0" customWidth="1"/>
    <col min="5" max="5" width="14.25390625" style="0" customWidth="1"/>
    <col min="6" max="6" width="11.875" style="0" customWidth="1"/>
    <col min="7" max="7" width="19.125" style="0" customWidth="1"/>
    <col min="8" max="8" width="13.75390625" style="0" customWidth="1"/>
    <col min="9" max="9" width="13.375" style="0" customWidth="1"/>
    <col min="10" max="10" width="11.125" style="0" customWidth="1"/>
    <col min="11" max="11" width="7.25390625" style="0" customWidth="1"/>
    <col min="12" max="12" width="14.25390625" style="0" customWidth="1"/>
  </cols>
  <sheetData>
    <row r="1" ht="13.5" thickBot="1">
      <c r="A1" s="131" t="s">
        <v>57</v>
      </c>
    </row>
    <row r="2" spans="1:15" ht="12.75" customHeight="1">
      <c r="A2" s="460" t="s">
        <v>72</v>
      </c>
      <c r="B2" s="433" t="s">
        <v>47</v>
      </c>
      <c r="C2" s="466" t="s">
        <v>44</v>
      </c>
      <c r="D2" s="435" t="s">
        <v>42</v>
      </c>
      <c r="E2" s="433" t="s">
        <v>48</v>
      </c>
      <c r="F2" s="435" t="s">
        <v>44</v>
      </c>
      <c r="G2" s="460" t="s">
        <v>49</v>
      </c>
      <c r="H2" s="456" t="s">
        <v>52</v>
      </c>
      <c r="I2" s="457"/>
      <c r="J2" s="449" t="s">
        <v>54</v>
      </c>
      <c r="K2" s="450"/>
      <c r="L2" s="458" t="s">
        <v>55</v>
      </c>
      <c r="M2" s="51"/>
      <c r="N2" s="448"/>
      <c r="O2" s="448"/>
    </row>
    <row r="3" spans="1:15" ht="13.5" customHeight="1" thickBot="1">
      <c r="A3" s="461"/>
      <c r="B3" s="434"/>
      <c r="C3" s="467"/>
      <c r="D3" s="465"/>
      <c r="E3" s="434"/>
      <c r="F3" s="465"/>
      <c r="G3" s="461"/>
      <c r="H3" s="36" t="s">
        <v>3</v>
      </c>
      <c r="I3" s="37" t="s">
        <v>53</v>
      </c>
      <c r="J3" s="451"/>
      <c r="K3" s="452"/>
      <c r="L3" s="459"/>
      <c r="M3" s="40"/>
      <c r="N3" s="40"/>
      <c r="O3" s="40"/>
    </row>
    <row r="4" spans="1:15" ht="13.5" thickBot="1">
      <c r="A4" s="117">
        <v>100</v>
      </c>
      <c r="B4" s="118">
        <v>0</v>
      </c>
      <c r="C4" s="38">
        <f>A4+A4/100*B4</f>
        <v>100</v>
      </c>
      <c r="D4" s="39">
        <f>(C4-A4)/C4*100</f>
        <v>0</v>
      </c>
      <c r="E4" s="118">
        <v>15</v>
      </c>
      <c r="F4" s="39">
        <f>C4+C4/100*E4</f>
        <v>115</v>
      </c>
      <c r="G4" s="100">
        <f>(F4-A4)/F4*100</f>
        <v>13.043478260869565</v>
      </c>
      <c r="H4" s="119">
        <v>0</v>
      </c>
      <c r="I4" s="49">
        <f>A4*(100-H4)/100</f>
        <v>100</v>
      </c>
      <c r="J4" s="462">
        <f>(F4-I4)/I4*100</f>
        <v>15</v>
      </c>
      <c r="K4" s="463"/>
      <c r="L4" s="101">
        <f>(F4-I4)/F4*100</f>
        <v>13.043478260869565</v>
      </c>
      <c r="M4" s="41"/>
      <c r="N4" s="41"/>
      <c r="O4" s="41"/>
    </row>
    <row r="5" spans="1:15" ht="12.75">
      <c r="A5" s="41"/>
      <c r="B5" s="41"/>
      <c r="C5" s="41"/>
      <c r="D5" s="41"/>
      <c r="E5" s="41"/>
      <c r="F5" s="41"/>
      <c r="G5" s="79"/>
      <c r="H5" s="79"/>
      <c r="I5" s="79"/>
      <c r="J5" s="80"/>
      <c r="K5" s="80"/>
      <c r="L5" s="79"/>
      <c r="M5" s="41"/>
      <c r="N5" s="41"/>
      <c r="O5" s="41"/>
    </row>
    <row r="6" spans="1:9" ht="13.5" thickBot="1">
      <c r="A6" s="131" t="s">
        <v>71</v>
      </c>
      <c r="B6" s="76"/>
      <c r="C6" s="76"/>
      <c r="D6" s="76"/>
      <c r="E6" s="76"/>
      <c r="F6" s="76"/>
      <c r="H6" s="42"/>
      <c r="I6" s="42"/>
    </row>
    <row r="7" spans="1:8" ht="13.5" thickBot="1">
      <c r="A7" s="43" t="s">
        <v>50</v>
      </c>
      <c r="B7" s="44" t="s">
        <v>40</v>
      </c>
      <c r="C7" s="44" t="s">
        <v>2</v>
      </c>
      <c r="D7" s="45" t="s">
        <v>51</v>
      </c>
      <c r="E7" s="464" t="s">
        <v>56</v>
      </c>
      <c r="F7" s="441"/>
      <c r="G7" s="442"/>
      <c r="H7" s="52"/>
    </row>
    <row r="8" spans="1:7" ht="13.5" thickBot="1">
      <c r="A8" s="46">
        <f>A4*0.04</f>
        <v>4</v>
      </c>
      <c r="B8" s="120">
        <v>0</v>
      </c>
      <c r="C8" s="65">
        <f>A8+A8/100*B8</f>
        <v>4</v>
      </c>
      <c r="D8" s="89">
        <f>(C8-A8)/C8*100</f>
        <v>0</v>
      </c>
      <c r="E8" s="453">
        <f>(C8-A8)/F4*100</f>
        <v>0</v>
      </c>
      <c r="F8" s="454"/>
      <c r="G8" s="455"/>
    </row>
    <row r="9" spans="1:7" ht="12.75">
      <c r="A9" s="42"/>
      <c r="B9" s="42"/>
      <c r="C9" s="42"/>
      <c r="D9" s="42"/>
      <c r="E9" s="52"/>
      <c r="F9" s="52"/>
      <c r="G9" s="52"/>
    </row>
    <row r="10" spans="1:7" ht="13.5" thickBot="1">
      <c r="A10" s="131" t="s">
        <v>58</v>
      </c>
      <c r="E10" s="76"/>
      <c r="F10" s="76"/>
      <c r="G10" s="76"/>
    </row>
    <row r="11" spans="1:7" ht="12.75">
      <c r="A11" s="43" t="s">
        <v>59</v>
      </c>
      <c r="B11" s="44" t="s">
        <v>60</v>
      </c>
      <c r="C11" s="44" t="s">
        <v>23</v>
      </c>
      <c r="D11" s="132" t="s">
        <v>40</v>
      </c>
      <c r="E11" s="44" t="s">
        <v>61</v>
      </c>
      <c r="F11" s="44" t="s">
        <v>62</v>
      </c>
      <c r="G11" s="45" t="s">
        <v>63</v>
      </c>
    </row>
    <row r="12" spans="1:8" ht="13.5" thickBot="1">
      <c r="A12" s="55">
        <f>F4</f>
        <v>115</v>
      </c>
      <c r="B12" s="121">
        <v>43.6</v>
      </c>
      <c r="C12" s="65">
        <f>A12/B12</f>
        <v>2.6376146788990824</v>
      </c>
      <c r="D12" s="121">
        <v>0</v>
      </c>
      <c r="E12" s="47">
        <f>B12+B12*D12/100</f>
        <v>43.6</v>
      </c>
      <c r="F12" s="65">
        <f>C12*E12</f>
        <v>115</v>
      </c>
      <c r="G12" s="102">
        <f>(F12-A12)/F12*100</f>
        <v>0</v>
      </c>
      <c r="H12" s="64"/>
    </row>
    <row r="13" spans="10:12" ht="13.5" thickBot="1">
      <c r="J13" t="s">
        <v>46</v>
      </c>
      <c r="K13" s="53">
        <f>L4+E8+G12</f>
        <v>13.043478260869565</v>
      </c>
      <c r="L13" t="s">
        <v>64</v>
      </c>
    </row>
    <row r="14" spans="11:12" ht="12.75">
      <c r="K14" s="107">
        <f>K13/(100-K13)*100</f>
        <v>15</v>
      </c>
      <c r="L14" t="s">
        <v>65</v>
      </c>
    </row>
    <row r="15" spans="1:7" ht="13.5" thickBot="1">
      <c r="A15" s="131" t="s">
        <v>70</v>
      </c>
      <c r="G15" t="s">
        <v>129</v>
      </c>
    </row>
    <row r="16" spans="1:7" ht="13.5" thickBot="1">
      <c r="A16" s="56" t="s">
        <v>41</v>
      </c>
      <c r="B16" s="57" t="s">
        <v>43</v>
      </c>
      <c r="C16" s="57" t="s">
        <v>66</v>
      </c>
      <c r="D16" s="58" t="s">
        <v>67</v>
      </c>
      <c r="E16" s="59" t="s">
        <v>2</v>
      </c>
      <c r="F16" s="60" t="s">
        <v>45</v>
      </c>
      <c r="G16" s="61" t="s">
        <v>130</v>
      </c>
    </row>
    <row r="17" spans="1:7" ht="13.5" thickBot="1">
      <c r="A17" s="122">
        <v>4</v>
      </c>
      <c r="B17" s="123">
        <v>4</v>
      </c>
      <c r="C17" s="123">
        <v>0.85</v>
      </c>
      <c r="D17" s="124">
        <v>1.15</v>
      </c>
      <c r="E17" s="103">
        <f>SUM(A17:D17)</f>
        <v>10</v>
      </c>
      <c r="F17" s="48">
        <f>K13-E17</f>
        <v>3.0434782608695645</v>
      </c>
      <c r="G17" s="103">
        <f>F17*0.8</f>
        <v>2.434782608695652</v>
      </c>
    </row>
    <row r="18" spans="2:8" ht="12.75">
      <c r="B18" s="76"/>
      <c r="E18" s="439" t="s">
        <v>68</v>
      </c>
      <c r="F18" s="439"/>
      <c r="G18" s="69">
        <v>10000000</v>
      </c>
      <c r="H18" s="50"/>
    </row>
    <row r="19" spans="5:12" ht="13.5" thickBot="1">
      <c r="E19" s="440" t="s">
        <v>69</v>
      </c>
      <c r="F19" s="440"/>
      <c r="G19" s="99">
        <f>G18/100*G17</f>
        <v>243478.2608695652</v>
      </c>
      <c r="H19" s="139"/>
      <c r="I19" s="76"/>
      <c r="J19" s="76"/>
      <c r="K19" s="76"/>
      <c r="L19" s="76"/>
    </row>
    <row r="20" spans="4:12" ht="12.75">
      <c r="D20" s="54" t="s">
        <v>45</v>
      </c>
      <c r="E20" s="436" t="s">
        <v>130</v>
      </c>
      <c r="F20" s="437"/>
      <c r="G20" s="432"/>
      <c r="H20" s="138"/>
      <c r="I20" s="139"/>
      <c r="J20" s="76"/>
      <c r="K20" s="76"/>
      <c r="L20" s="76"/>
    </row>
    <row r="21" spans="4:12" ht="13.5" thickBot="1">
      <c r="D21" s="104">
        <f>G18-G18/100*E17-G18/(100+E4)*100</f>
        <v>304347.826086957</v>
      </c>
      <c r="E21" s="444">
        <f>D21*0.8</f>
        <v>243478.26086956562</v>
      </c>
      <c r="F21" s="445"/>
      <c r="G21" s="438"/>
      <c r="H21" s="138"/>
      <c r="I21" s="139"/>
      <c r="J21" s="76"/>
      <c r="K21" s="76"/>
      <c r="L21" s="76"/>
    </row>
    <row r="22" spans="5:12" ht="12.75">
      <c r="E22" s="443"/>
      <c r="F22" s="443"/>
      <c r="H22" s="76"/>
      <c r="I22" s="76"/>
      <c r="J22" s="76"/>
      <c r="K22" s="76"/>
      <c r="L22" s="76"/>
    </row>
    <row r="23" spans="8:12" ht="12.75">
      <c r="H23" s="76"/>
      <c r="I23" s="76"/>
      <c r="J23" s="76"/>
      <c r="K23" s="76"/>
      <c r="L23" s="76"/>
    </row>
    <row r="24" spans="9:12" ht="12.75">
      <c r="I24" s="76"/>
      <c r="J24" s="76"/>
      <c r="K24" s="76"/>
      <c r="L24" s="76"/>
    </row>
    <row r="25" spans="9:12" ht="12.75">
      <c r="I25" s="76"/>
      <c r="J25" s="446"/>
      <c r="K25" s="446"/>
      <c r="L25" s="136"/>
    </row>
    <row r="26" spans="9:12" ht="12.75">
      <c r="I26" s="76"/>
      <c r="J26" s="446"/>
      <c r="K26" s="446"/>
      <c r="L26" s="134"/>
    </row>
    <row r="27" spans="9:12" ht="12.75">
      <c r="I27" s="76"/>
      <c r="J27" s="446"/>
      <c r="K27" s="447"/>
      <c r="L27" s="134"/>
    </row>
    <row r="29" ht="12.75">
      <c r="L29" s="137"/>
    </row>
    <row r="30" ht="12.75">
      <c r="L30" s="133"/>
    </row>
  </sheetData>
  <mergeCells count="22">
    <mergeCell ref="A2:A3"/>
    <mergeCell ref="E2:E3"/>
    <mergeCell ref="F2:F3"/>
    <mergeCell ref="B2:B3"/>
    <mergeCell ref="C2:C3"/>
    <mergeCell ref="D2:D3"/>
    <mergeCell ref="E7:G7"/>
    <mergeCell ref="E22:F22"/>
    <mergeCell ref="E21:G21"/>
    <mergeCell ref="E18:F18"/>
    <mergeCell ref="E19:F19"/>
    <mergeCell ref="E20:G20"/>
    <mergeCell ref="J27:K27"/>
    <mergeCell ref="N2:O2"/>
    <mergeCell ref="J2:K3"/>
    <mergeCell ref="E8:G8"/>
    <mergeCell ref="H2:I2"/>
    <mergeCell ref="J25:K25"/>
    <mergeCell ref="J26:K26"/>
    <mergeCell ref="L2:L3"/>
    <mergeCell ref="G2:G3"/>
    <mergeCell ref="J4:K4"/>
  </mergeCells>
  <printOptions/>
  <pageMargins left="0.3937007874015748" right="0.3937007874015748" top="0.5905511811023623" bottom="0.3937007874015748" header="0.5118110236220472" footer="0.31496062992125984"/>
  <pageSetup horizontalDpi="600" verticalDpi="600" orientation="landscape" paperSize="9" scale="79" r:id="rId1"/>
  <colBreaks count="1" manualBreakCount="1">
    <brk id="13" max="30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V39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S12" sqref="S12"/>
    </sheetView>
  </sheetViews>
  <sheetFormatPr defaultColWidth="9.00390625" defaultRowHeight="12.75"/>
  <cols>
    <col min="1" max="1" width="18.875" style="0" customWidth="1"/>
    <col min="2" max="2" width="5.00390625" style="0" customWidth="1"/>
    <col min="8" max="8" width="9.625" style="0" customWidth="1"/>
    <col min="10" max="10" width="6.125" style="0" customWidth="1"/>
    <col min="11" max="11" width="5.75390625" style="0" customWidth="1"/>
    <col min="12" max="12" width="9.00390625" style="0" customWidth="1"/>
    <col min="13" max="13" width="10.25390625" style="0" bestFit="1" customWidth="1"/>
    <col min="16" max="16" width="5.875" style="0" customWidth="1"/>
    <col min="17" max="17" width="6.125" style="0" customWidth="1"/>
    <col min="18" max="18" width="11.375" style="0" customWidth="1"/>
    <col min="20" max="20" width="10.25390625" style="0" customWidth="1"/>
  </cols>
  <sheetData>
    <row r="1" spans="1:3" ht="12.75">
      <c r="A1" s="67" t="s">
        <v>278</v>
      </c>
      <c r="B1" s="558" t="e">
        <f>#REF!+#REF!+R5</f>
        <v>#REF!</v>
      </c>
      <c r="C1" s="558"/>
    </row>
    <row r="2" ht="13.5" thickBot="1"/>
    <row r="3" spans="1:22" ht="13.5" thickBot="1">
      <c r="A3" s="482" t="s">
        <v>148</v>
      </c>
      <c r="B3" s="549" t="s">
        <v>276</v>
      </c>
      <c r="C3" s="550"/>
      <c r="D3" s="550"/>
      <c r="E3" s="550"/>
      <c r="F3" s="550"/>
      <c r="G3" s="551"/>
      <c r="H3" s="549" t="s">
        <v>282</v>
      </c>
      <c r="I3" s="550"/>
      <c r="J3" s="550"/>
      <c r="K3" s="550"/>
      <c r="L3" s="552"/>
      <c r="M3" s="552"/>
      <c r="N3" s="559" t="s">
        <v>283</v>
      </c>
      <c r="O3" s="560"/>
      <c r="P3" s="560"/>
      <c r="Q3" s="560"/>
      <c r="R3" s="560"/>
      <c r="S3" s="561"/>
      <c r="T3" s="482" t="s">
        <v>286</v>
      </c>
      <c r="V3">
        <v>0.044</v>
      </c>
    </row>
    <row r="4" spans="1:22" s="211" customFormat="1" ht="39" customHeight="1" thickBot="1">
      <c r="A4" s="483"/>
      <c r="B4" s="291" t="s">
        <v>273</v>
      </c>
      <c r="C4" s="292" t="s">
        <v>288</v>
      </c>
      <c r="D4" s="292" t="s">
        <v>274</v>
      </c>
      <c r="E4" s="292" t="s">
        <v>275</v>
      </c>
      <c r="F4" s="292" t="s">
        <v>88</v>
      </c>
      <c r="G4" s="293" t="s">
        <v>287</v>
      </c>
      <c r="H4" s="318" t="s">
        <v>280</v>
      </c>
      <c r="I4" s="319" t="s">
        <v>281</v>
      </c>
      <c r="J4" s="319" t="s">
        <v>6</v>
      </c>
      <c r="K4" s="319" t="s">
        <v>277</v>
      </c>
      <c r="L4" s="317" t="s">
        <v>289</v>
      </c>
      <c r="M4" s="317" t="s">
        <v>7</v>
      </c>
      <c r="N4" s="291" t="s">
        <v>280</v>
      </c>
      <c r="O4" s="292" t="s">
        <v>281</v>
      </c>
      <c r="P4" s="292" t="s">
        <v>6</v>
      </c>
      <c r="Q4" s="292" t="s">
        <v>277</v>
      </c>
      <c r="R4" s="302" t="s">
        <v>284</v>
      </c>
      <c r="S4" s="302" t="s">
        <v>285</v>
      </c>
      <c r="T4" s="484"/>
      <c r="V4" s="211" t="s">
        <v>380</v>
      </c>
    </row>
    <row r="5" spans="1:22" ht="12.75">
      <c r="A5" s="296" t="s">
        <v>43</v>
      </c>
      <c r="B5" s="81">
        <v>10</v>
      </c>
      <c r="C5" s="288">
        <v>165</v>
      </c>
      <c r="D5" s="288">
        <f>(СВОДНАЯ!C18-СВОДНАЯ!C4)/1000</f>
        <v>15.25</v>
      </c>
      <c r="E5" s="290">
        <f>D5+C5</f>
        <v>180.25</v>
      </c>
      <c r="F5" s="288">
        <f>СВОДНАЯ!B4/1000</f>
        <v>120</v>
      </c>
      <c r="G5" s="326">
        <f>D5*B5+F5</f>
        <v>272.5</v>
      </c>
      <c r="H5" s="289">
        <v>8</v>
      </c>
      <c r="I5" s="288">
        <v>0</v>
      </c>
      <c r="J5" s="212">
        <v>1</v>
      </c>
      <c r="K5" s="212">
        <v>0.5</v>
      </c>
      <c r="L5" s="288">
        <f>H5*B5+R5*(J5+K5)/100+I5</f>
        <v>279.5</v>
      </c>
      <c r="M5" s="327">
        <f>IF(L5&lt;C5,C5,L5)</f>
        <v>279.5</v>
      </c>
      <c r="N5" s="315">
        <v>0</v>
      </c>
      <c r="O5" s="290">
        <v>0</v>
      </c>
      <c r="P5" s="303">
        <v>4</v>
      </c>
      <c r="Q5" s="303">
        <v>0</v>
      </c>
      <c r="R5" s="306">
        <v>13300</v>
      </c>
      <c r="S5" s="326">
        <f>N5*B5+O5+(P5+Q5)*R5/100</f>
        <v>532</v>
      </c>
      <c r="T5" s="312">
        <f>S5-M5-G5</f>
        <v>-20</v>
      </c>
      <c r="U5">
        <v>1</v>
      </c>
      <c r="V5">
        <f>$V$3/U5*100</f>
        <v>4.3999999999999995</v>
      </c>
    </row>
    <row r="6" spans="1:22" ht="12.75">
      <c r="A6" s="296" t="s">
        <v>66</v>
      </c>
      <c r="B6" s="81">
        <v>1</v>
      </c>
      <c r="C6" s="288">
        <v>25</v>
      </c>
      <c r="D6" s="288">
        <f>СВОДНАЯ!F18/1000-СВОДНАЯ!F4/1000</f>
        <v>10</v>
      </c>
      <c r="E6" s="290">
        <f>D6+C6</f>
        <v>35</v>
      </c>
      <c r="F6" s="288">
        <f>СВОДНАЯ!E4/1000</f>
        <v>2.4</v>
      </c>
      <c r="G6" s="326">
        <f>D6*B6+F6</f>
        <v>12.4</v>
      </c>
      <c r="H6" s="289">
        <v>0</v>
      </c>
      <c r="I6" s="288">
        <v>0</v>
      </c>
      <c r="J6" s="212">
        <v>0</v>
      </c>
      <c r="K6" s="212">
        <v>0</v>
      </c>
      <c r="L6" s="288">
        <f>H6*B6+R6*(J6+K6)/100+I6</f>
        <v>0</v>
      </c>
      <c r="M6" s="327">
        <f>IF(L6&lt;C6,C6,L6)</f>
        <v>25</v>
      </c>
      <c r="N6" s="316">
        <v>0</v>
      </c>
      <c r="O6" s="288">
        <v>10</v>
      </c>
      <c r="P6" s="304">
        <v>0.5</v>
      </c>
      <c r="Q6" s="304">
        <v>0</v>
      </c>
      <c r="R6" s="307">
        <v>5500</v>
      </c>
      <c r="S6" s="326">
        <f>N6*B6+O6+(P6+Q6)*R6/100</f>
        <v>37.5</v>
      </c>
      <c r="T6" s="312">
        <f>S6-M6-G6</f>
        <v>0.09999999999999964</v>
      </c>
      <c r="U6">
        <v>2</v>
      </c>
      <c r="V6">
        <f aca="true" t="shared" si="0" ref="V6:V19">$V$3/U6*100</f>
        <v>2.1999999999999997</v>
      </c>
    </row>
    <row r="7" spans="1:22" ht="12.75">
      <c r="A7" s="296" t="s">
        <v>41</v>
      </c>
      <c r="B7" s="81">
        <v>2</v>
      </c>
      <c r="C7" s="288">
        <v>40</v>
      </c>
      <c r="D7" s="288">
        <f>СВОДНАЯ!L18/1000-СВОДНАЯ!L4/1000</f>
        <v>9.899999999999999</v>
      </c>
      <c r="E7" s="290">
        <f>D7+C7</f>
        <v>49.9</v>
      </c>
      <c r="F7" s="288">
        <f>СВОДНАЯ!K4/1000</f>
        <v>12.6</v>
      </c>
      <c r="G7" s="326">
        <f>D7*B7+F7</f>
        <v>32.4</v>
      </c>
      <c r="H7" s="289">
        <v>0</v>
      </c>
      <c r="I7" s="288">
        <v>0</v>
      </c>
      <c r="J7" s="212">
        <v>0</v>
      </c>
      <c r="K7" s="212">
        <v>0</v>
      </c>
      <c r="L7" s="288">
        <f>H7*B7+R7*(J7+K7)/100+I7</f>
        <v>0</v>
      </c>
      <c r="M7" s="327">
        <f>IF(L7&lt;C7,C7,L7)</f>
        <v>40</v>
      </c>
      <c r="N7" s="316">
        <v>0</v>
      </c>
      <c r="O7" s="290">
        <v>20</v>
      </c>
      <c r="P7" s="304">
        <v>0.8</v>
      </c>
      <c r="Q7" s="304">
        <v>0</v>
      </c>
      <c r="R7" s="307">
        <v>7000</v>
      </c>
      <c r="S7" s="326">
        <f>N7*B7+O7+(P7+Q7)*R7/100</f>
        <v>76</v>
      </c>
      <c r="T7" s="312">
        <f>S7-M7-G7</f>
        <v>3.6000000000000014</v>
      </c>
      <c r="U7">
        <v>3</v>
      </c>
      <c r="V7">
        <f t="shared" si="0"/>
        <v>1.4666666666666666</v>
      </c>
    </row>
    <row r="8" spans="1:22" ht="12.75">
      <c r="A8" s="296" t="s">
        <v>91</v>
      </c>
      <c r="B8" s="81">
        <v>3</v>
      </c>
      <c r="C8" s="288">
        <v>70</v>
      </c>
      <c r="D8" s="288">
        <f>СВОДНАЯ!I18/1000-СВОДНАЯ!I4/1000</f>
        <v>9.5</v>
      </c>
      <c r="E8" s="290">
        <f>D8+C8</f>
        <v>79.5</v>
      </c>
      <c r="F8" s="288">
        <f>СВОДНАЯ!H4/1000</f>
        <v>7.2</v>
      </c>
      <c r="G8" s="326">
        <f>D8*B8+F8</f>
        <v>35.7</v>
      </c>
      <c r="H8" s="289">
        <v>0</v>
      </c>
      <c r="I8" s="288">
        <v>0</v>
      </c>
      <c r="J8" s="212">
        <v>0</v>
      </c>
      <c r="K8" s="212">
        <v>0</v>
      </c>
      <c r="L8" s="288">
        <f>H8*B8+R8*(J8+K8)/100+I8</f>
        <v>0</v>
      </c>
      <c r="M8" s="327">
        <f>IF(L8&lt;C8,C8,L8)</f>
        <v>70</v>
      </c>
      <c r="N8" s="316">
        <v>3</v>
      </c>
      <c r="O8" s="290">
        <v>16</v>
      </c>
      <c r="P8" s="304">
        <v>0.5</v>
      </c>
      <c r="Q8" s="304">
        <v>0</v>
      </c>
      <c r="R8" s="307">
        <v>7000</v>
      </c>
      <c r="S8" s="326">
        <f>N8*(1+B10)+O8+P8*R8/100</f>
        <v>105</v>
      </c>
      <c r="T8" s="312">
        <f>S8-M8-G8</f>
        <v>-0.7000000000000028</v>
      </c>
      <c r="U8" s="21">
        <v>4</v>
      </c>
      <c r="V8" s="21">
        <f t="shared" si="0"/>
        <v>1.0999999999999999</v>
      </c>
    </row>
    <row r="9" spans="1:22" ht="13.5" thickBot="1">
      <c r="A9" s="296" t="s">
        <v>279</v>
      </c>
      <c r="B9" s="84">
        <v>1</v>
      </c>
      <c r="C9" s="294">
        <v>12</v>
      </c>
      <c r="D9" s="294">
        <f>СВОДНАЯ!O18/1000-СВОДНАЯ!O4/1000</f>
        <v>12.5</v>
      </c>
      <c r="E9" s="295">
        <f>D9+C9</f>
        <v>24.5</v>
      </c>
      <c r="F9" s="294">
        <f>СВОДНАЯ!N4/1000</f>
        <v>20</v>
      </c>
      <c r="G9" s="326">
        <f>D9*B9+F9</f>
        <v>32.5</v>
      </c>
      <c r="H9" s="322">
        <v>0</v>
      </c>
      <c r="I9" s="323">
        <v>0</v>
      </c>
      <c r="J9" s="47">
        <v>0</v>
      </c>
      <c r="K9" s="47">
        <v>0</v>
      </c>
      <c r="L9" s="323">
        <f>H9*B9+R9*(J9+K9)/100+I9</f>
        <v>0</v>
      </c>
      <c r="M9" s="328">
        <f>IF(L9&lt;C9,C9,L9)</f>
        <v>12</v>
      </c>
      <c r="N9" s="316">
        <v>0</v>
      </c>
      <c r="O9" s="310">
        <v>8</v>
      </c>
      <c r="P9" s="305">
        <v>4</v>
      </c>
      <c r="Q9" s="305">
        <v>0</v>
      </c>
      <c r="R9" s="308">
        <v>1000</v>
      </c>
      <c r="S9" s="326">
        <f>N9*B9+O9+(P9+Q9)*R9/100</f>
        <v>48</v>
      </c>
      <c r="T9" s="313">
        <f>S9-M9-G9</f>
        <v>3.5</v>
      </c>
      <c r="U9">
        <v>5</v>
      </c>
      <c r="V9">
        <f t="shared" si="0"/>
        <v>0.8799999999999999</v>
      </c>
    </row>
    <row r="10" spans="1:22" ht="13.5" thickBot="1">
      <c r="A10" s="86" t="s">
        <v>46</v>
      </c>
      <c r="B10" s="314">
        <f aca="true" t="shared" si="1" ref="B10:M10">SUM(B5:B9)</f>
        <v>17</v>
      </c>
      <c r="C10" s="301">
        <f t="shared" si="1"/>
        <v>312</v>
      </c>
      <c r="D10" s="301">
        <f t="shared" si="1"/>
        <v>57.15</v>
      </c>
      <c r="E10" s="301">
        <f t="shared" si="1"/>
        <v>369.15</v>
      </c>
      <c r="F10" s="301">
        <f t="shared" si="1"/>
        <v>162.2</v>
      </c>
      <c r="G10" s="298">
        <f t="shared" si="1"/>
        <v>385.49999999999994</v>
      </c>
      <c r="H10" s="320">
        <f t="shared" si="1"/>
        <v>8</v>
      </c>
      <c r="I10" s="321">
        <f t="shared" si="1"/>
        <v>0</v>
      </c>
      <c r="J10" s="321">
        <f t="shared" si="1"/>
        <v>1</v>
      </c>
      <c r="K10" s="321">
        <f t="shared" si="1"/>
        <v>0.5</v>
      </c>
      <c r="L10" s="324">
        <f t="shared" si="1"/>
        <v>279.5</v>
      </c>
      <c r="M10" s="325">
        <f t="shared" si="1"/>
        <v>426.5</v>
      </c>
      <c r="N10" s="300"/>
      <c r="O10" s="297">
        <f>SUM(O5:O9)</f>
        <v>54</v>
      </c>
      <c r="P10" s="297">
        <f>SUM(P5:P8)</f>
        <v>5.8</v>
      </c>
      <c r="Q10" s="297"/>
      <c r="R10" s="309"/>
      <c r="S10" s="299">
        <f>SUM(S5:S9)</f>
        <v>798.5</v>
      </c>
      <c r="T10" s="311">
        <f>SUM(T5:T9)</f>
        <v>-13.5</v>
      </c>
      <c r="U10">
        <v>6</v>
      </c>
      <c r="V10">
        <f t="shared" si="0"/>
        <v>0.7333333333333333</v>
      </c>
    </row>
    <row r="11" spans="3:22" ht="12.75">
      <c r="C11" s="67"/>
      <c r="O11" t="s">
        <v>379</v>
      </c>
      <c r="P11" s="383">
        <f>P10+3.15</f>
        <v>8.95</v>
      </c>
      <c r="U11">
        <v>7</v>
      </c>
      <c r="V11">
        <f t="shared" si="0"/>
        <v>0.6285714285714286</v>
      </c>
    </row>
    <row r="12" spans="3:22" ht="12.75">
      <c r="C12" s="67"/>
      <c r="U12" s="21">
        <v>8</v>
      </c>
      <c r="V12" s="21">
        <f t="shared" si="0"/>
        <v>0.5499999999999999</v>
      </c>
    </row>
    <row r="13" spans="3:22" ht="12.75">
      <c r="C13" s="67"/>
      <c r="U13">
        <v>9</v>
      </c>
      <c r="V13">
        <f t="shared" si="0"/>
        <v>0.4888888888888889</v>
      </c>
    </row>
    <row r="14" spans="1:22" ht="12.75">
      <c r="A14" t="s">
        <v>329</v>
      </c>
      <c r="C14" s="67">
        <v>0.1</v>
      </c>
      <c r="D14" t="s">
        <v>329</v>
      </c>
      <c r="G14" t="s">
        <v>334</v>
      </c>
      <c r="I14" t="s">
        <v>335</v>
      </c>
      <c r="J14" t="s">
        <v>336</v>
      </c>
      <c r="N14" s="562" t="s">
        <v>342</v>
      </c>
      <c r="O14" s="563"/>
      <c r="P14" s="564"/>
      <c r="Q14" s="382"/>
      <c r="R14" s="381"/>
      <c r="S14" s="381"/>
      <c r="T14" s="381"/>
      <c r="U14" s="384">
        <v>10</v>
      </c>
      <c r="V14" s="384">
        <f t="shared" si="0"/>
        <v>0.43999999999999995</v>
      </c>
    </row>
    <row r="15" spans="3:22" ht="12.75">
      <c r="C15" s="67">
        <v>0.1</v>
      </c>
      <c r="D15" t="s">
        <v>330</v>
      </c>
      <c r="I15" t="s">
        <v>337</v>
      </c>
      <c r="J15" t="s">
        <v>338</v>
      </c>
      <c r="K15" t="s">
        <v>339</v>
      </c>
      <c r="N15" s="562" t="s">
        <v>343</v>
      </c>
      <c r="O15" s="563"/>
      <c r="P15" s="564"/>
      <c r="Q15" s="382"/>
      <c r="R15" s="381"/>
      <c r="S15" s="381"/>
      <c r="T15" s="381"/>
      <c r="U15" s="381">
        <v>11</v>
      </c>
      <c r="V15" s="381">
        <f t="shared" si="0"/>
        <v>0.4</v>
      </c>
    </row>
    <row r="16" spans="3:22" ht="12.75">
      <c r="C16" s="67">
        <v>0.1</v>
      </c>
      <c r="D16" t="s">
        <v>331</v>
      </c>
      <c r="N16" s="562" t="s">
        <v>344</v>
      </c>
      <c r="O16" s="563"/>
      <c r="P16" s="564"/>
      <c r="Q16" s="382"/>
      <c r="R16" s="381"/>
      <c r="S16" s="381"/>
      <c r="T16" s="381"/>
      <c r="U16" s="381">
        <v>12</v>
      </c>
      <c r="V16" s="381">
        <f t="shared" si="0"/>
        <v>0.36666666666666664</v>
      </c>
    </row>
    <row r="17" spans="3:22" ht="12.75">
      <c r="C17" s="67" t="s">
        <v>332</v>
      </c>
      <c r="D17" t="s">
        <v>333</v>
      </c>
      <c r="N17" s="562" t="s">
        <v>345</v>
      </c>
      <c r="O17" s="563"/>
      <c r="P17" s="564"/>
      <c r="Q17" s="382"/>
      <c r="R17" s="381"/>
      <c r="S17" s="381"/>
      <c r="T17" s="381"/>
      <c r="U17" s="381">
        <v>13</v>
      </c>
      <c r="V17" s="381">
        <f t="shared" si="0"/>
        <v>0.3384615384615384</v>
      </c>
    </row>
    <row r="18" spans="3:22" ht="12.75">
      <c r="C18" s="67"/>
      <c r="N18" s="562" t="s">
        <v>346</v>
      </c>
      <c r="O18" s="563"/>
      <c r="P18" s="564"/>
      <c r="Q18" s="382"/>
      <c r="R18" s="381"/>
      <c r="S18" s="381"/>
      <c r="T18" s="381"/>
      <c r="U18" s="381">
        <v>14</v>
      </c>
      <c r="V18" s="381">
        <f t="shared" si="0"/>
        <v>0.3142857142857143</v>
      </c>
    </row>
    <row r="19" spans="3:22" ht="12.75">
      <c r="C19" s="67"/>
      <c r="N19" s="562" t="s">
        <v>347</v>
      </c>
      <c r="O19" s="563"/>
      <c r="P19" s="564"/>
      <c r="Q19" s="382"/>
      <c r="R19" s="381"/>
      <c r="S19" s="381"/>
      <c r="T19" s="381"/>
      <c r="U19" s="381">
        <v>15</v>
      </c>
      <c r="V19" s="381">
        <f t="shared" si="0"/>
        <v>0.29333333333333333</v>
      </c>
    </row>
    <row r="20" spans="1:17" ht="12.75">
      <c r="A20" t="s">
        <v>91</v>
      </c>
      <c r="C20" s="67">
        <v>0.1</v>
      </c>
      <c r="D20" t="s">
        <v>340</v>
      </c>
      <c r="N20" s="554" t="s">
        <v>348</v>
      </c>
      <c r="O20" s="555"/>
      <c r="P20" s="556"/>
      <c r="Q20" s="212"/>
    </row>
    <row r="21" spans="3:17" ht="12.75">
      <c r="C21" s="67">
        <v>0.1</v>
      </c>
      <c r="D21" t="s">
        <v>341</v>
      </c>
      <c r="N21" s="554" t="s">
        <v>349</v>
      </c>
      <c r="O21" s="555"/>
      <c r="P21" s="556"/>
      <c r="Q21" s="212"/>
    </row>
    <row r="22" ht="12.75">
      <c r="C22" s="67">
        <v>0.1</v>
      </c>
    </row>
    <row r="23" ht="12.75">
      <c r="C23" s="67"/>
    </row>
    <row r="24" spans="3:18" ht="12.75">
      <c r="C24" s="68" t="s">
        <v>372</v>
      </c>
      <c r="G24" t="s">
        <v>373</v>
      </c>
      <c r="H24" t="s">
        <v>374</v>
      </c>
      <c r="I24" t="s">
        <v>377</v>
      </c>
      <c r="L24" t="s">
        <v>371</v>
      </c>
      <c r="P24" t="s">
        <v>375</v>
      </c>
      <c r="Q24" t="s">
        <v>376</v>
      </c>
      <c r="R24" t="s">
        <v>377</v>
      </c>
    </row>
    <row r="25" spans="3:18" ht="12.75">
      <c r="C25" s="553" t="s">
        <v>350</v>
      </c>
      <c r="D25" s="553"/>
      <c r="E25" s="553"/>
      <c r="F25" s="553"/>
      <c r="G25" s="212"/>
      <c r="H25" s="212"/>
      <c r="I25" s="212"/>
      <c r="L25" s="557" t="s">
        <v>362</v>
      </c>
      <c r="M25" s="557"/>
      <c r="N25" s="557"/>
      <c r="O25" s="557"/>
      <c r="P25" s="212"/>
      <c r="Q25" s="212"/>
      <c r="R25" s="212"/>
    </row>
    <row r="26" spans="3:18" ht="12.75">
      <c r="C26" s="553" t="s">
        <v>351</v>
      </c>
      <c r="D26" s="553"/>
      <c r="E26" s="553"/>
      <c r="F26" s="553"/>
      <c r="G26" s="212"/>
      <c r="H26" s="212"/>
      <c r="I26" s="212"/>
      <c r="L26" s="557" t="s">
        <v>355</v>
      </c>
      <c r="M26" s="557"/>
      <c r="N26" s="557"/>
      <c r="O26" s="557"/>
      <c r="P26" s="212"/>
      <c r="Q26" s="212"/>
      <c r="R26" s="212"/>
    </row>
    <row r="27" spans="3:18" ht="12.75">
      <c r="C27" s="553" t="s">
        <v>352</v>
      </c>
      <c r="D27" s="553"/>
      <c r="E27" s="553"/>
      <c r="F27" s="553"/>
      <c r="G27" s="212"/>
      <c r="H27" s="212"/>
      <c r="I27" s="212"/>
      <c r="L27" s="557" t="s">
        <v>363</v>
      </c>
      <c r="M27" s="557"/>
      <c r="N27" s="557"/>
      <c r="O27" s="557"/>
      <c r="P27" s="212"/>
      <c r="Q27" s="212"/>
      <c r="R27" s="212"/>
    </row>
    <row r="28" spans="3:18" ht="12.75">
      <c r="C28" s="553" t="s">
        <v>353</v>
      </c>
      <c r="D28" s="553"/>
      <c r="E28" s="553"/>
      <c r="F28" s="553"/>
      <c r="G28" s="212"/>
      <c r="H28" s="212"/>
      <c r="I28" s="212"/>
      <c r="L28" s="557" t="s">
        <v>364</v>
      </c>
      <c r="M28" s="557"/>
      <c r="N28" s="557"/>
      <c r="O28" s="557"/>
      <c r="P28" s="212"/>
      <c r="Q28" s="212"/>
      <c r="R28" s="212"/>
    </row>
    <row r="29" spans="3:18" ht="12.75">
      <c r="C29" s="553" t="s">
        <v>354</v>
      </c>
      <c r="D29" s="553"/>
      <c r="E29" s="553"/>
      <c r="F29" s="553"/>
      <c r="G29" s="212"/>
      <c r="H29" s="212"/>
      <c r="I29" s="212"/>
      <c r="L29" s="557" t="s">
        <v>365</v>
      </c>
      <c r="M29" s="557"/>
      <c r="N29" s="557"/>
      <c r="O29" s="557"/>
      <c r="P29" s="212"/>
      <c r="Q29" s="212"/>
      <c r="R29" s="212"/>
    </row>
    <row r="30" spans="3:18" ht="12.75">
      <c r="C30" s="553" t="s">
        <v>353</v>
      </c>
      <c r="D30" s="553"/>
      <c r="E30" s="553"/>
      <c r="F30" s="553"/>
      <c r="G30" s="212"/>
      <c r="H30" s="212"/>
      <c r="I30" s="212"/>
      <c r="L30" s="557" t="s">
        <v>366</v>
      </c>
      <c r="M30" s="557"/>
      <c r="N30" s="557"/>
      <c r="O30" s="557"/>
      <c r="P30" s="212"/>
      <c r="Q30" s="212"/>
      <c r="R30" s="212"/>
    </row>
    <row r="31" spans="3:18" ht="12.75">
      <c r="C31" s="553" t="s">
        <v>355</v>
      </c>
      <c r="D31" s="553"/>
      <c r="E31" s="553"/>
      <c r="F31" s="553"/>
      <c r="G31" s="212"/>
      <c r="H31" s="212"/>
      <c r="I31" s="212"/>
      <c r="L31" s="557" t="s">
        <v>367</v>
      </c>
      <c r="M31" s="557"/>
      <c r="N31" s="557"/>
      <c r="O31" s="557"/>
      <c r="P31" s="212"/>
      <c r="Q31" s="212"/>
      <c r="R31" s="212"/>
    </row>
    <row r="32" spans="3:18" ht="12.75">
      <c r="C32" s="557" t="s">
        <v>356</v>
      </c>
      <c r="D32" s="557"/>
      <c r="E32" s="557"/>
      <c r="F32" s="557"/>
      <c r="G32" s="212"/>
      <c r="H32" s="212"/>
      <c r="I32" s="212"/>
      <c r="L32" s="557" t="s">
        <v>368</v>
      </c>
      <c r="M32" s="557"/>
      <c r="N32" s="557"/>
      <c r="O32" s="557"/>
      <c r="P32" s="212"/>
      <c r="Q32" s="212"/>
      <c r="R32" s="212"/>
    </row>
    <row r="33" spans="3:18" ht="12.75">
      <c r="C33" s="557" t="s">
        <v>353</v>
      </c>
      <c r="D33" s="557"/>
      <c r="E33" s="557"/>
      <c r="F33" s="557"/>
      <c r="G33" s="212"/>
      <c r="H33" s="212"/>
      <c r="I33" s="212"/>
      <c r="L33" s="557" t="s">
        <v>369</v>
      </c>
      <c r="M33" s="557"/>
      <c r="N33" s="557"/>
      <c r="O33" s="557"/>
      <c r="P33" s="212"/>
      <c r="Q33" s="212"/>
      <c r="R33" s="212"/>
    </row>
    <row r="34" spans="3:18" ht="12.75">
      <c r="C34" s="557" t="s">
        <v>357</v>
      </c>
      <c r="D34" s="557"/>
      <c r="E34" s="557"/>
      <c r="F34" s="557"/>
      <c r="G34" s="212"/>
      <c r="H34" s="212"/>
      <c r="I34" s="212"/>
      <c r="L34" s="557" t="s">
        <v>353</v>
      </c>
      <c r="M34" s="557"/>
      <c r="N34" s="557"/>
      <c r="O34" s="557"/>
      <c r="P34" s="212"/>
      <c r="Q34" s="212"/>
      <c r="R34" s="212"/>
    </row>
    <row r="35" spans="3:18" ht="12.75">
      <c r="C35" s="557" t="s">
        <v>358</v>
      </c>
      <c r="D35" s="557"/>
      <c r="E35" s="557"/>
      <c r="F35" s="557"/>
      <c r="G35" s="212"/>
      <c r="H35" s="212"/>
      <c r="I35" s="212"/>
      <c r="L35" s="557" t="s">
        <v>358</v>
      </c>
      <c r="M35" s="557"/>
      <c r="N35" s="557"/>
      <c r="O35" s="557"/>
      <c r="P35" s="212"/>
      <c r="Q35" s="212"/>
      <c r="R35" s="212"/>
    </row>
    <row r="36" spans="3:18" ht="12.75">
      <c r="C36" s="557" t="s">
        <v>359</v>
      </c>
      <c r="D36" s="557"/>
      <c r="E36" s="557"/>
      <c r="F36" s="557"/>
      <c r="G36" s="212"/>
      <c r="H36" s="212"/>
      <c r="I36" s="212"/>
      <c r="L36" s="557" t="s">
        <v>359</v>
      </c>
      <c r="M36" s="557"/>
      <c r="N36" s="557"/>
      <c r="O36" s="557"/>
      <c r="P36" s="212"/>
      <c r="Q36" s="212"/>
      <c r="R36" s="212"/>
    </row>
    <row r="37" spans="3:18" ht="12.75">
      <c r="C37" s="557" t="s">
        <v>360</v>
      </c>
      <c r="D37" s="557"/>
      <c r="E37" s="557"/>
      <c r="F37" s="557"/>
      <c r="G37" s="212"/>
      <c r="H37" s="212"/>
      <c r="I37" s="212"/>
      <c r="L37" s="557" t="s">
        <v>360</v>
      </c>
      <c r="M37" s="557"/>
      <c r="N37" s="557"/>
      <c r="O37" s="557"/>
      <c r="P37" s="212"/>
      <c r="Q37" s="212"/>
      <c r="R37" s="212"/>
    </row>
    <row r="38" spans="3:18" ht="12.75">
      <c r="C38" s="557" t="s">
        <v>353</v>
      </c>
      <c r="D38" s="557"/>
      <c r="E38" s="557"/>
      <c r="F38" s="557"/>
      <c r="G38" s="212"/>
      <c r="H38" s="212"/>
      <c r="I38" s="212"/>
      <c r="L38" s="557" t="s">
        <v>353</v>
      </c>
      <c r="M38" s="557"/>
      <c r="N38" s="557"/>
      <c r="O38" s="557"/>
      <c r="P38" s="212"/>
      <c r="Q38" s="212"/>
      <c r="R38" s="212"/>
    </row>
    <row r="39" spans="3:18" ht="12.75">
      <c r="C39" s="557" t="s">
        <v>361</v>
      </c>
      <c r="D39" s="557"/>
      <c r="E39" s="557"/>
      <c r="F39" s="557"/>
      <c r="G39" s="212"/>
      <c r="H39" s="212"/>
      <c r="I39" s="212"/>
      <c r="L39" s="557" t="s">
        <v>370</v>
      </c>
      <c r="M39" s="557"/>
      <c r="N39" s="557"/>
      <c r="O39" s="557"/>
      <c r="P39" s="212"/>
      <c r="Q39" s="212"/>
      <c r="R39" s="212"/>
    </row>
  </sheetData>
  <mergeCells count="44">
    <mergeCell ref="L28:O28"/>
    <mergeCell ref="L37:O37"/>
    <mergeCell ref="L33:O33"/>
    <mergeCell ref="L34:O34"/>
    <mergeCell ref="L29:O29"/>
    <mergeCell ref="L30:O30"/>
    <mergeCell ref="L31:O31"/>
    <mergeCell ref="L35:O35"/>
    <mergeCell ref="L32:O32"/>
    <mergeCell ref="C26:F26"/>
    <mergeCell ref="C27:F27"/>
    <mergeCell ref="C28:F28"/>
    <mergeCell ref="L36:O36"/>
    <mergeCell ref="C36:F36"/>
    <mergeCell ref="C30:F30"/>
    <mergeCell ref="C31:F31"/>
    <mergeCell ref="C29:F29"/>
    <mergeCell ref="L26:O26"/>
    <mergeCell ref="L27:O27"/>
    <mergeCell ref="C38:F38"/>
    <mergeCell ref="C39:F39"/>
    <mergeCell ref="L38:O38"/>
    <mergeCell ref="L39:O39"/>
    <mergeCell ref="C37:F37"/>
    <mergeCell ref="C34:F34"/>
    <mergeCell ref="C35:F35"/>
    <mergeCell ref="C32:F32"/>
    <mergeCell ref="C33:F33"/>
    <mergeCell ref="B1:C1"/>
    <mergeCell ref="A3:A4"/>
    <mergeCell ref="N3:S3"/>
    <mergeCell ref="N20:P20"/>
    <mergeCell ref="N14:P14"/>
    <mergeCell ref="N15:P15"/>
    <mergeCell ref="N16:P16"/>
    <mergeCell ref="N17:P17"/>
    <mergeCell ref="N18:P18"/>
    <mergeCell ref="N19:P19"/>
    <mergeCell ref="T3:T4"/>
    <mergeCell ref="B3:G3"/>
    <mergeCell ref="H3:M3"/>
    <mergeCell ref="C25:F25"/>
    <mergeCell ref="N21:P21"/>
    <mergeCell ref="L25:O25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4:I18"/>
  <sheetViews>
    <sheetView workbookViewId="0" topLeftCell="A1">
      <selection activeCell="D13" sqref="D13"/>
    </sheetView>
  </sheetViews>
  <sheetFormatPr defaultColWidth="9.00390625" defaultRowHeight="12.75"/>
  <cols>
    <col min="4" max="4" width="11.00390625" style="0" customWidth="1"/>
    <col min="5" max="5" width="11.625" style="0" customWidth="1"/>
    <col min="6" max="6" width="12.00390625" style="0" customWidth="1"/>
    <col min="8" max="8" width="11.00390625" style="0" customWidth="1"/>
    <col min="9" max="9" width="10.75390625" style="0" bestFit="1" customWidth="1"/>
  </cols>
  <sheetData>
    <row r="3" ht="13.5" thickBot="1"/>
    <row r="4" spans="2:9" ht="13.5" thickBot="1">
      <c r="B4" s="212"/>
      <c r="C4" s="212" t="s">
        <v>265</v>
      </c>
      <c r="D4" s="212" t="s">
        <v>266</v>
      </c>
      <c r="E4" s="212" t="s">
        <v>267</v>
      </c>
      <c r="F4" s="212" t="s">
        <v>268</v>
      </c>
      <c r="G4" s="212" t="s">
        <v>269</v>
      </c>
      <c r="H4" s="283" t="s">
        <v>270</v>
      </c>
      <c r="I4" s="59" t="s">
        <v>46</v>
      </c>
    </row>
    <row r="5" spans="2:9" ht="12.75">
      <c r="B5" s="212" t="s">
        <v>253</v>
      </c>
      <c r="C5" s="281">
        <v>840.2465753424658</v>
      </c>
      <c r="D5" s="281">
        <v>2550.1369863013697</v>
      </c>
      <c r="E5" s="212"/>
      <c r="F5" s="280">
        <v>1307.0502283105025</v>
      </c>
      <c r="G5" s="282">
        <v>3200</v>
      </c>
      <c r="H5" s="283"/>
      <c r="I5" s="285">
        <f>SUM(C5:H5)</f>
        <v>7897.433789954338</v>
      </c>
    </row>
    <row r="6" spans="2:9" ht="12.75">
      <c r="B6" s="212" t="s">
        <v>254</v>
      </c>
      <c r="C6" s="281">
        <v>832.7260273972603</v>
      </c>
      <c r="D6" s="281">
        <v>2525.068493150685</v>
      </c>
      <c r="E6" s="212"/>
      <c r="F6" s="280">
        <v>1295.351598173516</v>
      </c>
      <c r="G6" s="282">
        <v>3200</v>
      </c>
      <c r="H6" s="284">
        <v>1560.1643835616437</v>
      </c>
      <c r="I6" s="285">
        <f aca="true" t="shared" si="0" ref="I6:I16">SUM(C6:H6)</f>
        <v>9413.310502283104</v>
      </c>
    </row>
    <row r="7" spans="2:9" ht="12.75">
      <c r="B7" s="212" t="s">
        <v>255</v>
      </c>
      <c r="C7" s="281">
        <v>825.2054794520548</v>
      </c>
      <c r="D7" s="212"/>
      <c r="E7" s="281">
        <v>3030.082191780822</v>
      </c>
      <c r="F7" s="280">
        <v>1283.6529680365297</v>
      </c>
      <c r="G7" s="282">
        <v>3200</v>
      </c>
      <c r="H7" s="284">
        <v>1545.123287671233</v>
      </c>
      <c r="I7" s="285">
        <f t="shared" si="0"/>
        <v>9884.06392694064</v>
      </c>
    </row>
    <row r="8" spans="2:9" ht="12.75">
      <c r="B8" s="212" t="s">
        <v>256</v>
      </c>
      <c r="C8" s="281">
        <v>817.6849315068494</v>
      </c>
      <c r="D8" s="212"/>
      <c r="E8" s="212"/>
      <c r="F8" s="280">
        <v>1271.9543378995434</v>
      </c>
      <c r="G8" s="282">
        <v>3200</v>
      </c>
      <c r="H8" s="284">
        <v>1530.0821917808219</v>
      </c>
      <c r="I8" s="285">
        <f t="shared" si="0"/>
        <v>6819.721461187214</v>
      </c>
    </row>
    <row r="9" spans="2:9" ht="12.75">
      <c r="B9" s="212" t="s">
        <v>257</v>
      </c>
      <c r="C9" s="281">
        <v>810.1643835616438</v>
      </c>
      <c r="D9" s="212"/>
      <c r="E9" s="212"/>
      <c r="F9" s="280">
        <v>1260.2557077625572</v>
      </c>
      <c r="G9" s="282">
        <v>3200</v>
      </c>
      <c r="H9" s="284">
        <v>1515.041095890411</v>
      </c>
      <c r="I9" s="285">
        <f t="shared" si="0"/>
        <v>6785.461187214612</v>
      </c>
    </row>
    <row r="10" spans="2:9" ht="12.75">
      <c r="B10" s="212" t="s">
        <v>258</v>
      </c>
      <c r="C10" s="281">
        <v>802.6438356164383</v>
      </c>
      <c r="D10" s="212"/>
      <c r="E10" s="212"/>
      <c r="F10" s="280">
        <v>1248.5570776255709</v>
      </c>
      <c r="G10" s="282">
        <v>3200</v>
      </c>
      <c r="H10" s="283"/>
      <c r="I10" s="285">
        <f t="shared" si="0"/>
        <v>5251.200913242009</v>
      </c>
    </row>
    <row r="11" spans="2:9" ht="12.75">
      <c r="B11" s="212" t="s">
        <v>259</v>
      </c>
      <c r="C11" s="281">
        <v>795.1232876712329</v>
      </c>
      <c r="D11" s="212"/>
      <c r="E11" s="212"/>
      <c r="F11" s="280">
        <v>1236.8584474885845</v>
      </c>
      <c r="G11" s="282">
        <v>3200</v>
      </c>
      <c r="H11" s="283"/>
      <c r="I11" s="285">
        <f t="shared" si="0"/>
        <v>5231.981735159818</v>
      </c>
    </row>
    <row r="12" spans="2:9" ht="12.75">
      <c r="B12" s="212" t="s">
        <v>260</v>
      </c>
      <c r="C12" s="281">
        <v>787.6027397260274</v>
      </c>
      <c r="D12" s="212"/>
      <c r="E12" s="212"/>
      <c r="F12" s="280">
        <v>1225.1598173515983</v>
      </c>
      <c r="G12" s="282">
        <v>3200</v>
      </c>
      <c r="H12" s="283"/>
      <c r="I12" s="285">
        <f t="shared" si="0"/>
        <v>5212.762557077625</v>
      </c>
    </row>
    <row r="13" spans="2:9" ht="12.75">
      <c r="B13" s="212" t="s">
        <v>261</v>
      </c>
      <c r="C13" s="281">
        <v>780.0821917808219</v>
      </c>
      <c r="D13" s="212"/>
      <c r="E13" s="212"/>
      <c r="F13" s="280">
        <v>1213.461187214612</v>
      </c>
      <c r="G13" s="282">
        <v>3200</v>
      </c>
      <c r="H13" s="283"/>
      <c r="I13" s="285">
        <f t="shared" si="0"/>
        <v>5193.543378995434</v>
      </c>
    </row>
    <row r="14" spans="2:9" ht="12.75">
      <c r="B14" s="212" t="s">
        <v>262</v>
      </c>
      <c r="C14" s="281">
        <v>772.5616438356165</v>
      </c>
      <c r="D14" s="212"/>
      <c r="E14" s="212"/>
      <c r="F14" s="280">
        <v>1201.7625570776256</v>
      </c>
      <c r="G14" s="282">
        <v>3200</v>
      </c>
      <c r="H14" s="283"/>
      <c r="I14" s="285">
        <f t="shared" si="0"/>
        <v>5174.324200913242</v>
      </c>
    </row>
    <row r="15" spans="2:9" ht="12.75">
      <c r="B15" s="212" t="s">
        <v>263</v>
      </c>
      <c r="C15" s="281">
        <v>765.0410958904109</v>
      </c>
      <c r="D15" s="212"/>
      <c r="E15" s="212"/>
      <c r="F15" s="280">
        <v>1190.0639269406392</v>
      </c>
      <c r="G15" s="282">
        <v>3200</v>
      </c>
      <c r="H15" s="283"/>
      <c r="I15" s="285">
        <f t="shared" si="0"/>
        <v>5155.1050228310505</v>
      </c>
    </row>
    <row r="16" spans="2:9" ht="12.75">
      <c r="B16" s="212" t="s">
        <v>264</v>
      </c>
      <c r="C16" s="281">
        <v>757.5205479452055</v>
      </c>
      <c r="D16" s="212"/>
      <c r="E16" s="212"/>
      <c r="F16" s="281">
        <v>1178.365296803653</v>
      </c>
      <c r="G16" s="282">
        <v>3200</v>
      </c>
      <c r="H16" s="283"/>
      <c r="I16" s="285">
        <f t="shared" si="0"/>
        <v>5135.885844748858</v>
      </c>
    </row>
    <row r="17" ht="12.75">
      <c r="I17" s="286">
        <f>SUM(I5:I16)</f>
        <v>77154.79452054795</v>
      </c>
    </row>
    <row r="18" spans="6:8" ht="12.75">
      <c r="F18" t="s">
        <v>271</v>
      </c>
      <c r="H18" s="133">
        <f>I17/12</f>
        <v>6429.566210045662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82"/>
  <sheetViews>
    <sheetView tabSelected="1" workbookViewId="0" topLeftCell="A1">
      <selection activeCell="I2" sqref="I2"/>
    </sheetView>
  </sheetViews>
  <sheetFormatPr defaultColWidth="9.00390625" defaultRowHeight="12.75"/>
  <cols>
    <col min="1" max="1" width="5.75390625" style="0" customWidth="1"/>
    <col min="2" max="2" width="10.00390625" style="0" customWidth="1"/>
    <col min="3" max="3" width="12.00390625" style="0" customWidth="1"/>
    <col min="4" max="4" width="10.00390625" style="0" customWidth="1"/>
    <col min="5" max="5" width="9.75390625" style="0" bestFit="1" customWidth="1"/>
    <col min="6" max="6" width="10.125" style="0" customWidth="1"/>
    <col min="7" max="10" width="10.75390625" style="0" bestFit="1" customWidth="1"/>
    <col min="11" max="11" width="10.375" style="0" customWidth="1"/>
    <col min="12" max="12" width="10.625" style="0" customWidth="1"/>
    <col min="13" max="13" width="10.375" style="0" customWidth="1"/>
    <col min="14" max="14" width="10.75390625" style="0" customWidth="1"/>
    <col min="15" max="15" width="11.25390625" style="0" customWidth="1"/>
    <col min="16" max="16" width="12.125" style="0" customWidth="1"/>
  </cols>
  <sheetData>
    <row r="1" spans="1:7" ht="12.75">
      <c r="A1" s="473" t="s">
        <v>109</v>
      </c>
      <c r="B1" s="473"/>
      <c r="C1" s="473"/>
      <c r="F1" t="s">
        <v>222</v>
      </c>
      <c r="G1" t="s">
        <v>223</v>
      </c>
    </row>
    <row r="2" ht="12.75">
      <c r="B2" t="s">
        <v>103</v>
      </c>
    </row>
    <row r="3" spans="4:14" ht="12.75">
      <c r="D3" t="s">
        <v>104</v>
      </c>
      <c r="E3" t="s">
        <v>105</v>
      </c>
      <c r="F3" t="s">
        <v>106</v>
      </c>
      <c r="G3" t="s">
        <v>107</v>
      </c>
      <c r="H3" t="s">
        <v>108</v>
      </c>
      <c r="I3" t="s">
        <v>110</v>
      </c>
      <c r="K3" t="s">
        <v>116</v>
      </c>
      <c r="N3" s="105">
        <v>-0.2</v>
      </c>
    </row>
    <row r="4" spans="2:14" ht="12.75">
      <c r="B4" t="s">
        <v>100</v>
      </c>
      <c r="D4">
        <v>4</v>
      </c>
      <c r="E4">
        <v>4</v>
      </c>
      <c r="F4">
        <v>4</v>
      </c>
      <c r="G4">
        <v>4</v>
      </c>
      <c r="H4">
        <v>4</v>
      </c>
      <c r="I4">
        <v>4</v>
      </c>
      <c r="K4" t="s">
        <v>111</v>
      </c>
      <c r="L4">
        <v>0</v>
      </c>
      <c r="N4">
        <f>L4*0.8</f>
        <v>0</v>
      </c>
    </row>
    <row r="5" spans="2:14" ht="12.75">
      <c r="B5" t="s">
        <v>101</v>
      </c>
      <c r="D5">
        <v>3</v>
      </c>
      <c r="E5">
        <v>4</v>
      </c>
      <c r="F5">
        <v>4</v>
      </c>
      <c r="G5">
        <v>4</v>
      </c>
      <c r="H5">
        <v>4</v>
      </c>
      <c r="I5">
        <v>4</v>
      </c>
      <c r="K5" t="s">
        <v>112</v>
      </c>
      <c r="L5">
        <v>200</v>
      </c>
      <c r="N5">
        <f aca="true" t="shared" si="0" ref="N5:N10">L5*0.8</f>
        <v>160</v>
      </c>
    </row>
    <row r="6" spans="2:14" ht="12.75">
      <c r="B6" t="s">
        <v>102</v>
      </c>
      <c r="D6">
        <v>1</v>
      </c>
      <c r="E6">
        <v>2</v>
      </c>
      <c r="F6">
        <v>3</v>
      </c>
      <c r="G6">
        <v>4</v>
      </c>
      <c r="H6">
        <v>4</v>
      </c>
      <c r="I6">
        <v>4</v>
      </c>
      <c r="K6" t="s">
        <v>113</v>
      </c>
      <c r="L6">
        <v>500</v>
      </c>
      <c r="N6">
        <f t="shared" si="0"/>
        <v>400</v>
      </c>
    </row>
    <row r="7" spans="2:14" ht="12.75">
      <c r="B7" t="s">
        <v>132</v>
      </c>
      <c r="D7" s="62">
        <f aca="true" t="shared" si="1" ref="D7:I7">25250*(D4+D5+D6)</f>
        <v>202000</v>
      </c>
      <c r="E7" s="62">
        <f t="shared" si="1"/>
        <v>252500</v>
      </c>
      <c r="F7" s="62">
        <f t="shared" si="1"/>
        <v>277750</v>
      </c>
      <c r="G7" s="62">
        <f t="shared" si="1"/>
        <v>303000</v>
      </c>
      <c r="H7" s="62">
        <f t="shared" si="1"/>
        <v>303000</v>
      </c>
      <c r="I7" s="62">
        <f t="shared" si="1"/>
        <v>303000</v>
      </c>
      <c r="K7" t="s">
        <v>114</v>
      </c>
      <c r="L7">
        <v>700</v>
      </c>
      <c r="N7">
        <f t="shared" si="0"/>
        <v>560</v>
      </c>
    </row>
    <row r="8" spans="2:14" ht="12.75">
      <c r="B8" t="s">
        <v>98</v>
      </c>
      <c r="D8">
        <f aca="true" t="shared" si="2" ref="D8:I8">SUM(D4:D6)</f>
        <v>8</v>
      </c>
      <c r="E8">
        <f t="shared" si="2"/>
        <v>10</v>
      </c>
      <c r="F8">
        <f t="shared" si="2"/>
        <v>11</v>
      </c>
      <c r="G8">
        <f t="shared" si="2"/>
        <v>12</v>
      </c>
      <c r="H8">
        <f t="shared" si="2"/>
        <v>12</v>
      </c>
      <c r="I8">
        <f t="shared" si="2"/>
        <v>12</v>
      </c>
      <c r="K8" t="s">
        <v>115</v>
      </c>
      <c r="L8">
        <v>1000</v>
      </c>
      <c r="N8">
        <f t="shared" si="0"/>
        <v>800</v>
      </c>
    </row>
    <row r="9" spans="4:14" ht="12.75">
      <c r="D9" t="s">
        <v>104</v>
      </c>
      <c r="E9" t="s">
        <v>105</v>
      </c>
      <c r="F9" t="s">
        <v>106</v>
      </c>
      <c r="G9" t="s">
        <v>107</v>
      </c>
      <c r="H9" t="s">
        <v>108</v>
      </c>
      <c r="I9" t="s">
        <v>110</v>
      </c>
      <c r="K9" t="s">
        <v>117</v>
      </c>
      <c r="L9">
        <v>1200</v>
      </c>
      <c r="N9">
        <f t="shared" si="0"/>
        <v>960</v>
      </c>
    </row>
    <row r="10" spans="2:14" ht="12.75">
      <c r="B10" s="94" t="s">
        <v>100</v>
      </c>
      <c r="D10" s="106">
        <v>0.0971</v>
      </c>
      <c r="E10" s="106">
        <v>0.0749</v>
      </c>
      <c r="F10" s="106">
        <v>0.0576</v>
      </c>
      <c r="G10" s="106">
        <v>0.0508</v>
      </c>
      <c r="H10" s="106">
        <v>0.0444</v>
      </c>
      <c r="I10" s="106">
        <v>0.042</v>
      </c>
      <c r="J10" s="105">
        <v>0.04</v>
      </c>
      <c r="K10" t="s">
        <v>118</v>
      </c>
      <c r="L10">
        <v>1400</v>
      </c>
      <c r="N10">
        <f t="shared" si="0"/>
        <v>1120</v>
      </c>
    </row>
    <row r="11" spans="2:9" ht="12.75">
      <c r="B11" s="1" t="s">
        <v>24</v>
      </c>
      <c r="C11" s="1"/>
      <c r="D11" s="98">
        <v>1120</v>
      </c>
      <c r="E11" s="98">
        <v>1120</v>
      </c>
      <c r="F11" s="98">
        <v>1120</v>
      </c>
      <c r="G11" s="98">
        <v>1120</v>
      </c>
      <c r="H11" s="98">
        <v>1120</v>
      </c>
      <c r="I11" s="98">
        <v>1120</v>
      </c>
    </row>
    <row r="12" spans="2:11" ht="12.75">
      <c r="B12" s="1" t="s">
        <v>27</v>
      </c>
      <c r="C12" s="1"/>
      <c r="D12" s="98">
        <v>500</v>
      </c>
      <c r="E12" s="98">
        <v>700</v>
      </c>
      <c r="F12" s="98">
        <v>1000</v>
      </c>
      <c r="G12" s="98">
        <v>1200</v>
      </c>
      <c r="H12" s="98">
        <v>1400</v>
      </c>
      <c r="I12" s="98">
        <v>1400</v>
      </c>
      <c r="K12" t="s">
        <v>119</v>
      </c>
    </row>
    <row r="13" spans="2:9" ht="12.75">
      <c r="B13" s="1" t="s">
        <v>26</v>
      </c>
      <c r="C13" s="1"/>
      <c r="D13" s="98">
        <v>200</v>
      </c>
      <c r="E13" s="98">
        <v>500</v>
      </c>
      <c r="F13" s="98">
        <v>700</v>
      </c>
      <c r="G13" s="98">
        <v>1000</v>
      </c>
      <c r="H13" s="98">
        <v>1200</v>
      </c>
      <c r="I13" s="98">
        <v>1400</v>
      </c>
    </row>
    <row r="14" spans="2:9" ht="12.75">
      <c r="B14" s="1" t="s">
        <v>25</v>
      </c>
      <c r="C14" s="1"/>
      <c r="D14" s="98">
        <v>0</v>
      </c>
      <c r="E14" s="98">
        <v>200</v>
      </c>
      <c r="F14" s="98">
        <v>500</v>
      </c>
      <c r="G14" s="98">
        <v>700</v>
      </c>
      <c r="H14" s="98">
        <v>1000</v>
      </c>
      <c r="I14" s="98">
        <v>1200</v>
      </c>
    </row>
    <row r="15" spans="3:15" ht="12.75" customHeight="1">
      <c r="C15" t="s">
        <v>46</v>
      </c>
      <c r="D15" s="69">
        <f aca="true" t="shared" si="3" ref="D15:I15">SUM(D11:D14)</f>
        <v>1820</v>
      </c>
      <c r="E15" s="69">
        <f t="shared" si="3"/>
        <v>2520</v>
      </c>
      <c r="F15" s="69">
        <f t="shared" si="3"/>
        <v>3320</v>
      </c>
      <c r="G15" s="69">
        <f t="shared" si="3"/>
        <v>4020</v>
      </c>
      <c r="H15" s="69">
        <f t="shared" si="3"/>
        <v>4720</v>
      </c>
      <c r="I15" s="69">
        <f t="shared" si="3"/>
        <v>5120</v>
      </c>
      <c r="J15" s="62">
        <f>SUM(D15:I15)</f>
        <v>21520</v>
      </c>
      <c r="L15" s="565" t="s">
        <v>131</v>
      </c>
      <c r="M15" s="565"/>
      <c r="N15" s="565"/>
      <c r="O15" s="565"/>
    </row>
    <row r="16" spans="3:15" ht="12.75" customHeight="1">
      <c r="C16" s="105">
        <v>0.04</v>
      </c>
      <c r="D16" s="96">
        <f aca="true" t="shared" si="4" ref="D16:I16">D15*0.04</f>
        <v>72.8</v>
      </c>
      <c r="E16" s="96">
        <f t="shared" si="4"/>
        <v>100.8</v>
      </c>
      <c r="F16" s="96">
        <f t="shared" si="4"/>
        <v>132.8</v>
      </c>
      <c r="G16" s="96">
        <f t="shared" si="4"/>
        <v>160.8</v>
      </c>
      <c r="H16" s="96">
        <f t="shared" si="4"/>
        <v>188.8</v>
      </c>
      <c r="I16" s="96">
        <f t="shared" si="4"/>
        <v>204.8</v>
      </c>
      <c r="J16" s="62"/>
      <c r="L16" s="565"/>
      <c r="M16" s="565"/>
      <c r="N16" s="565"/>
      <c r="O16" s="565"/>
    </row>
    <row r="17" spans="2:15" ht="12.75">
      <c r="B17" s="94" t="s">
        <v>101</v>
      </c>
      <c r="E17" s="96"/>
      <c r="F17" s="96"/>
      <c r="G17" s="96"/>
      <c r="H17" s="96"/>
      <c r="I17" s="96"/>
      <c r="L17" s="565"/>
      <c r="M17" s="565"/>
      <c r="N17" s="565"/>
      <c r="O17" s="565"/>
    </row>
    <row r="18" spans="2:15" ht="12.75">
      <c r="B18" s="1" t="s">
        <v>24</v>
      </c>
      <c r="C18" s="1"/>
      <c r="D18" s="98">
        <v>160</v>
      </c>
      <c r="E18" s="98">
        <v>400</v>
      </c>
      <c r="F18" s="98">
        <v>560</v>
      </c>
      <c r="G18" s="98">
        <v>800</v>
      </c>
      <c r="H18" s="98">
        <v>960</v>
      </c>
      <c r="I18" s="98">
        <v>1120</v>
      </c>
      <c r="L18" s="565"/>
      <c r="M18" s="565"/>
      <c r="N18" s="565"/>
      <c r="O18" s="565"/>
    </row>
    <row r="19" spans="2:15" ht="12.75">
      <c r="B19" s="1" t="s">
        <v>27</v>
      </c>
      <c r="C19" s="1"/>
      <c r="D19" s="98">
        <v>200</v>
      </c>
      <c r="E19" s="98">
        <v>500</v>
      </c>
      <c r="F19" s="98">
        <v>700</v>
      </c>
      <c r="G19" s="98">
        <v>1000</v>
      </c>
      <c r="H19" s="98">
        <v>1200</v>
      </c>
      <c r="I19" s="98">
        <v>1400</v>
      </c>
      <c r="L19" s="565"/>
      <c r="M19" s="565"/>
      <c r="N19" s="565"/>
      <c r="O19" s="565"/>
    </row>
    <row r="20" spans="2:15" ht="12.75">
      <c r="B20" s="1" t="s">
        <v>26</v>
      </c>
      <c r="C20" s="1"/>
      <c r="D20" s="98"/>
      <c r="E20" s="98">
        <v>0</v>
      </c>
      <c r="F20" s="98">
        <v>200</v>
      </c>
      <c r="G20" s="98">
        <v>500</v>
      </c>
      <c r="H20" s="98">
        <v>700</v>
      </c>
      <c r="I20" s="98">
        <v>1000</v>
      </c>
      <c r="L20" s="565"/>
      <c r="M20" s="565"/>
      <c r="N20" s="565"/>
      <c r="O20" s="565"/>
    </row>
    <row r="21" spans="2:15" ht="12.75">
      <c r="B21" s="1" t="s">
        <v>25</v>
      </c>
      <c r="C21" s="1"/>
      <c r="D21" s="98">
        <v>0</v>
      </c>
      <c r="E21" s="98">
        <v>200</v>
      </c>
      <c r="F21" s="98">
        <v>500</v>
      </c>
      <c r="G21" s="98">
        <v>700</v>
      </c>
      <c r="H21" s="98">
        <v>1000</v>
      </c>
      <c r="I21" s="98">
        <v>1200</v>
      </c>
      <c r="L21" s="565"/>
      <c r="M21" s="565"/>
      <c r="N21" s="565"/>
      <c r="O21" s="565"/>
    </row>
    <row r="22" spans="3:15" ht="12.75">
      <c r="C22" t="s">
        <v>46</v>
      </c>
      <c r="D22" s="69">
        <f aca="true" t="shared" si="5" ref="D22:I22">SUM(D18:D21)</f>
        <v>360</v>
      </c>
      <c r="E22" s="69">
        <f t="shared" si="5"/>
        <v>1100</v>
      </c>
      <c r="F22" s="69">
        <f t="shared" si="5"/>
        <v>1960</v>
      </c>
      <c r="G22" s="69">
        <f t="shared" si="5"/>
        <v>3000</v>
      </c>
      <c r="H22" s="69">
        <f t="shared" si="5"/>
        <v>3860</v>
      </c>
      <c r="I22" s="69">
        <f t="shared" si="5"/>
        <v>4720</v>
      </c>
      <c r="J22" s="62">
        <f>SUM(D22:I22)</f>
        <v>15000</v>
      </c>
      <c r="L22" s="565"/>
      <c r="M22" s="565"/>
      <c r="N22" s="565"/>
      <c r="O22" s="565"/>
    </row>
    <row r="23" spans="3:15" ht="12.75">
      <c r="C23" s="105">
        <v>0.04</v>
      </c>
      <c r="D23" s="96">
        <f aca="true" t="shared" si="6" ref="D23:I23">D22*0.04</f>
        <v>14.4</v>
      </c>
      <c r="E23" s="96">
        <f t="shared" si="6"/>
        <v>44</v>
      </c>
      <c r="F23" s="96">
        <f t="shared" si="6"/>
        <v>78.4</v>
      </c>
      <c r="G23" s="96">
        <f t="shared" si="6"/>
        <v>120</v>
      </c>
      <c r="H23" s="96">
        <f t="shared" si="6"/>
        <v>154.4</v>
      </c>
      <c r="I23" s="96">
        <f t="shared" si="6"/>
        <v>188.8</v>
      </c>
      <c r="J23" s="62"/>
      <c r="L23" s="565"/>
      <c r="M23" s="565"/>
      <c r="N23" s="565"/>
      <c r="O23" s="565"/>
    </row>
    <row r="24" spans="2:15" ht="12.75">
      <c r="B24" s="94" t="s">
        <v>102</v>
      </c>
      <c r="D24" s="62"/>
      <c r="E24" s="62"/>
      <c r="F24" s="62"/>
      <c r="G24" s="62"/>
      <c r="H24" s="62"/>
      <c r="I24" s="62"/>
      <c r="L24" s="565"/>
      <c r="M24" s="565"/>
      <c r="N24" s="565"/>
      <c r="O24" s="565"/>
    </row>
    <row r="25" spans="2:15" ht="12.75">
      <c r="B25" s="1" t="s">
        <v>24</v>
      </c>
      <c r="C25" s="1"/>
      <c r="D25" s="98">
        <v>0</v>
      </c>
      <c r="E25" s="98">
        <v>160</v>
      </c>
      <c r="F25" s="98">
        <v>400</v>
      </c>
      <c r="G25" s="98">
        <v>560</v>
      </c>
      <c r="H25" s="98">
        <v>800</v>
      </c>
      <c r="I25" s="98">
        <v>960</v>
      </c>
      <c r="L25" s="565"/>
      <c r="M25" s="565"/>
      <c r="N25" s="565"/>
      <c r="O25" s="565"/>
    </row>
    <row r="26" spans="2:15" ht="12.75">
      <c r="B26" s="1" t="s">
        <v>27</v>
      </c>
      <c r="C26" s="1"/>
      <c r="D26" s="98"/>
      <c r="E26" s="98">
        <v>0</v>
      </c>
      <c r="F26" s="98">
        <v>200</v>
      </c>
      <c r="G26" s="98">
        <v>500</v>
      </c>
      <c r="H26" s="98">
        <v>700</v>
      </c>
      <c r="I26" s="98">
        <v>1000</v>
      </c>
      <c r="L26" s="565"/>
      <c r="M26" s="565"/>
      <c r="N26" s="565"/>
      <c r="O26" s="565"/>
    </row>
    <row r="27" spans="2:15" ht="12.75">
      <c r="B27" s="1" t="s">
        <v>26</v>
      </c>
      <c r="C27" s="1"/>
      <c r="D27" s="98"/>
      <c r="E27" s="98"/>
      <c r="F27" s="98">
        <v>0</v>
      </c>
      <c r="G27" s="98">
        <v>200</v>
      </c>
      <c r="H27" s="98">
        <v>500</v>
      </c>
      <c r="I27" s="98">
        <v>700</v>
      </c>
      <c r="L27" s="566"/>
      <c r="M27" s="566"/>
      <c r="N27" s="566"/>
      <c r="O27" s="566"/>
    </row>
    <row r="28" spans="2:9" ht="12.75">
      <c r="B28" s="1" t="s">
        <v>25</v>
      </c>
      <c r="C28" s="1"/>
      <c r="D28" s="98"/>
      <c r="E28" s="98"/>
      <c r="F28" s="98"/>
      <c r="G28" s="98">
        <v>0</v>
      </c>
      <c r="H28" s="98">
        <v>200</v>
      </c>
      <c r="I28" s="98">
        <v>500</v>
      </c>
    </row>
    <row r="29" spans="3:10" ht="12.75">
      <c r="C29" t="s">
        <v>46</v>
      </c>
      <c r="D29" s="69">
        <f aca="true" t="shared" si="7" ref="D29:I29">SUM(D25:D28)</f>
        <v>0</v>
      </c>
      <c r="E29" s="69">
        <f t="shared" si="7"/>
        <v>160</v>
      </c>
      <c r="F29" s="69">
        <f t="shared" si="7"/>
        <v>600</v>
      </c>
      <c r="G29" s="69">
        <f t="shared" si="7"/>
        <v>1260</v>
      </c>
      <c r="H29" s="69">
        <f t="shared" si="7"/>
        <v>2200</v>
      </c>
      <c r="I29" s="69">
        <f t="shared" si="7"/>
        <v>3160</v>
      </c>
      <c r="J29" s="62">
        <f>SUM(D29:I29)</f>
        <v>7380</v>
      </c>
    </row>
    <row r="30" spans="3:9" ht="12.75">
      <c r="C30" s="105">
        <v>0.04</v>
      </c>
      <c r="D30" s="96">
        <f aca="true" t="shared" si="8" ref="D30:I30">D29*0.04</f>
        <v>0</v>
      </c>
      <c r="E30" s="96">
        <f t="shared" si="8"/>
        <v>6.4</v>
      </c>
      <c r="F30" s="96">
        <f t="shared" si="8"/>
        <v>24</v>
      </c>
      <c r="G30" s="96">
        <f t="shared" si="8"/>
        <v>50.4</v>
      </c>
      <c r="H30" s="96">
        <f t="shared" si="8"/>
        <v>88</v>
      </c>
      <c r="I30" s="96">
        <f t="shared" si="8"/>
        <v>126.4</v>
      </c>
    </row>
    <row r="31" spans="4:9" ht="12.75">
      <c r="D31" s="96"/>
      <c r="E31" s="96"/>
      <c r="F31" s="96"/>
      <c r="G31" s="96"/>
      <c r="H31" s="96"/>
      <c r="I31" s="96"/>
    </row>
    <row r="32" spans="1:12" ht="12.75">
      <c r="A32" t="s">
        <v>120</v>
      </c>
      <c r="D32" s="95">
        <f aca="true" t="shared" si="9" ref="D32:I32">D15+D22+D29</f>
        <v>2180</v>
      </c>
      <c r="E32" s="95">
        <f t="shared" si="9"/>
        <v>3780</v>
      </c>
      <c r="F32" s="95">
        <f t="shared" si="9"/>
        <v>5880</v>
      </c>
      <c r="G32" s="95">
        <f t="shared" si="9"/>
        <v>8280</v>
      </c>
      <c r="H32" s="95">
        <f t="shared" si="9"/>
        <v>10780</v>
      </c>
      <c r="I32" s="95">
        <f t="shared" si="9"/>
        <v>13000</v>
      </c>
      <c r="J32" s="63">
        <f>SUM(D32:I32)</f>
        <v>43900</v>
      </c>
      <c r="K32" s="62">
        <f>J32/6</f>
        <v>7316.666666666667</v>
      </c>
      <c r="L32" t="s">
        <v>121</v>
      </c>
    </row>
    <row r="33" spans="3:11" ht="12.75">
      <c r="C33" t="s">
        <v>123</v>
      </c>
      <c r="D33" s="96"/>
      <c r="E33" s="96">
        <f>(E32-D32)/D32*100</f>
        <v>73.39449541284404</v>
      </c>
      <c r="F33" s="96">
        <f>(F32-E32)/E32*100</f>
        <v>55.55555555555556</v>
      </c>
      <c r="G33" s="96">
        <f>(G32-F32)/F32*100</f>
        <v>40.816326530612244</v>
      </c>
      <c r="H33" s="96">
        <f>(H32-G32)/G32*100</f>
        <v>30.193236714975846</v>
      </c>
      <c r="I33" s="96">
        <f>(I32-H32)/H32*100</f>
        <v>20.59369202226345</v>
      </c>
      <c r="J33" s="96">
        <f>(E33+F33+G33+H33+I33)/5</f>
        <v>44.11066124725022</v>
      </c>
      <c r="K33" t="s">
        <v>124</v>
      </c>
    </row>
    <row r="34" spans="3:10" ht="12.75">
      <c r="C34" s="105">
        <v>0.04</v>
      </c>
      <c r="D34" s="96">
        <f aca="true" t="shared" si="10" ref="D34:I34">D32*0.04</f>
        <v>87.2</v>
      </c>
      <c r="E34" s="96">
        <f t="shared" si="10"/>
        <v>151.20000000000002</v>
      </c>
      <c r="F34" s="96">
        <f t="shared" si="10"/>
        <v>235.20000000000002</v>
      </c>
      <c r="G34" s="96">
        <f t="shared" si="10"/>
        <v>331.2</v>
      </c>
      <c r="H34" s="96">
        <f t="shared" si="10"/>
        <v>431.2</v>
      </c>
      <c r="I34" s="96">
        <f t="shared" si="10"/>
        <v>520</v>
      </c>
      <c r="J34" s="96"/>
    </row>
    <row r="35" ht="12.75">
      <c r="A35" t="s">
        <v>122</v>
      </c>
    </row>
    <row r="37" spans="2:13" ht="12.75">
      <c r="B37" s="76"/>
      <c r="C37" s="76" t="s">
        <v>165</v>
      </c>
      <c r="D37" s="76" t="s">
        <v>87</v>
      </c>
      <c r="E37" s="76"/>
      <c r="F37" s="76"/>
      <c r="G37" s="76"/>
      <c r="H37" s="76"/>
      <c r="I37" s="76"/>
      <c r="J37" s="76"/>
      <c r="K37" s="76"/>
      <c r="L37" s="76"/>
      <c r="M37" s="76"/>
    </row>
    <row r="38" spans="2:13" ht="12.75">
      <c r="B38" s="76"/>
      <c r="C38" s="76"/>
      <c r="D38" s="76"/>
      <c r="E38" s="139"/>
      <c r="F38" s="139"/>
      <c r="G38" s="139"/>
      <c r="H38" s="139"/>
      <c r="I38" s="139"/>
      <c r="J38" s="139"/>
      <c r="K38" s="139"/>
      <c r="L38" s="139"/>
      <c r="M38" s="76"/>
    </row>
    <row r="39" spans="2:15" ht="12.75">
      <c r="B39" s="76"/>
      <c r="C39" s="76"/>
      <c r="D39" s="76"/>
      <c r="E39" s="139" t="s">
        <v>104</v>
      </c>
      <c r="F39" s="139" t="s">
        <v>105</v>
      </c>
      <c r="G39" s="139" t="s">
        <v>106</v>
      </c>
      <c r="H39" s="139" t="s">
        <v>107</v>
      </c>
      <c r="I39" s="139" t="s">
        <v>108</v>
      </c>
      <c r="J39" s="139" t="s">
        <v>110</v>
      </c>
      <c r="K39" s="139" t="s">
        <v>169</v>
      </c>
      <c r="L39" s="139" t="s">
        <v>170</v>
      </c>
      <c r="M39" s="139" t="s">
        <v>171</v>
      </c>
      <c r="N39" s="139" t="s">
        <v>172</v>
      </c>
      <c r="O39" s="139" t="s">
        <v>173</v>
      </c>
    </row>
    <row r="40" spans="2:15" ht="12.75">
      <c r="B40" s="76"/>
      <c r="C40" s="76"/>
      <c r="D40" s="76" t="s">
        <v>100</v>
      </c>
      <c r="E40" s="139">
        <f aca="true" t="shared" si="11" ref="E40:J40">D15</f>
        <v>1820</v>
      </c>
      <c r="F40" s="139">
        <f t="shared" si="11"/>
        <v>2520</v>
      </c>
      <c r="G40" s="139">
        <f t="shared" si="11"/>
        <v>3320</v>
      </c>
      <c r="H40" s="139">
        <f t="shared" si="11"/>
        <v>4020</v>
      </c>
      <c r="I40" s="139">
        <f t="shared" si="11"/>
        <v>4720</v>
      </c>
      <c r="J40" s="139">
        <f t="shared" si="11"/>
        <v>5120</v>
      </c>
      <c r="K40" s="139">
        <v>5320</v>
      </c>
      <c r="L40" s="139">
        <v>5320</v>
      </c>
      <c r="M40" s="139">
        <v>5320</v>
      </c>
      <c r="N40" s="139">
        <v>5320</v>
      </c>
      <c r="O40" s="139">
        <v>5320</v>
      </c>
    </row>
    <row r="41" spans="2:15" ht="12.75">
      <c r="B41" s="146"/>
      <c r="C41" s="76"/>
      <c r="D41" s="76" t="s">
        <v>166</v>
      </c>
      <c r="E41" s="139">
        <f aca="true" t="shared" si="12" ref="E41:J41">D22</f>
        <v>360</v>
      </c>
      <c r="F41" s="139">
        <f t="shared" si="12"/>
        <v>1100</v>
      </c>
      <c r="G41" s="139">
        <f t="shared" si="12"/>
        <v>1960</v>
      </c>
      <c r="H41" s="139">
        <f t="shared" si="12"/>
        <v>3000</v>
      </c>
      <c r="I41" s="139">
        <f t="shared" si="12"/>
        <v>3860</v>
      </c>
      <c r="J41" s="139">
        <f t="shared" si="12"/>
        <v>4720</v>
      </c>
      <c r="K41" s="139">
        <v>5120</v>
      </c>
      <c r="L41" s="139">
        <v>5320</v>
      </c>
      <c r="M41" s="139">
        <v>5320</v>
      </c>
      <c r="N41" s="139">
        <v>5320</v>
      </c>
      <c r="O41" s="139">
        <v>5320</v>
      </c>
    </row>
    <row r="42" spans="2:15" ht="12.75">
      <c r="B42" s="76"/>
      <c r="C42" s="76"/>
      <c r="D42" s="76" t="s">
        <v>102</v>
      </c>
      <c r="E42" s="139">
        <f aca="true" t="shared" si="13" ref="E42:J42">D29</f>
        <v>0</v>
      </c>
      <c r="F42" s="139">
        <f t="shared" si="13"/>
        <v>160</v>
      </c>
      <c r="G42" s="139">
        <f t="shared" si="13"/>
        <v>600</v>
      </c>
      <c r="H42" s="139">
        <f t="shared" si="13"/>
        <v>1260</v>
      </c>
      <c r="I42" s="139">
        <f t="shared" si="13"/>
        <v>2200</v>
      </c>
      <c r="J42" s="139">
        <f t="shared" si="13"/>
        <v>3160</v>
      </c>
      <c r="K42" s="139">
        <v>4020</v>
      </c>
      <c r="L42" s="139">
        <v>4720</v>
      </c>
      <c r="M42" s="139">
        <v>5120</v>
      </c>
      <c r="N42" s="139">
        <v>5320</v>
      </c>
      <c r="O42" s="139">
        <v>5320</v>
      </c>
    </row>
    <row r="43" spans="3:16" ht="12.75">
      <c r="C43" s="76"/>
      <c r="D43" s="21" t="s">
        <v>46</v>
      </c>
      <c r="E43" s="69">
        <f>SUM(E40:E42)</f>
        <v>2180</v>
      </c>
      <c r="F43" s="69">
        <f aca="true" t="shared" si="14" ref="F43:O43">SUM(F40:F42)</f>
        <v>3780</v>
      </c>
      <c r="G43" s="69">
        <f t="shared" si="14"/>
        <v>5880</v>
      </c>
      <c r="H43" s="69">
        <f t="shared" si="14"/>
        <v>8280</v>
      </c>
      <c r="I43" s="69">
        <f t="shared" si="14"/>
        <v>10780</v>
      </c>
      <c r="J43" s="69">
        <f t="shared" si="14"/>
        <v>13000</v>
      </c>
      <c r="K43" s="69">
        <f t="shared" si="14"/>
        <v>14460</v>
      </c>
      <c r="L43" s="69">
        <f t="shared" si="14"/>
        <v>15360</v>
      </c>
      <c r="M43" s="69">
        <f t="shared" si="14"/>
        <v>15760</v>
      </c>
      <c r="N43" s="69">
        <f t="shared" si="14"/>
        <v>15960</v>
      </c>
      <c r="O43" s="69">
        <f t="shared" si="14"/>
        <v>15960</v>
      </c>
      <c r="P43" s="62">
        <f>SUM(E43:O43)</f>
        <v>121400</v>
      </c>
    </row>
    <row r="44" spans="2:15" ht="12.75">
      <c r="B44" s="76">
        <v>25250</v>
      </c>
      <c r="C44" s="76" t="s">
        <v>174</v>
      </c>
      <c r="D44" s="76"/>
      <c r="E44" s="147">
        <v>8</v>
      </c>
      <c r="F44" s="147">
        <v>10</v>
      </c>
      <c r="G44" s="147">
        <v>11</v>
      </c>
      <c r="H44" s="147">
        <v>12</v>
      </c>
      <c r="I44" s="147">
        <v>12</v>
      </c>
      <c r="J44" s="147">
        <v>12</v>
      </c>
      <c r="K44" s="147">
        <v>12</v>
      </c>
      <c r="L44" s="147">
        <v>12</v>
      </c>
      <c r="M44" s="147">
        <v>12</v>
      </c>
      <c r="N44" s="147">
        <v>12</v>
      </c>
      <c r="O44" s="147">
        <v>12</v>
      </c>
    </row>
    <row r="45" spans="2:17" ht="12.75">
      <c r="B45" s="76"/>
      <c r="C45" s="76" t="s">
        <v>175</v>
      </c>
      <c r="D45" s="76"/>
      <c r="E45" s="69">
        <f>E43</f>
        <v>2180</v>
      </c>
      <c r="F45" s="69">
        <f>F43</f>
        <v>3780</v>
      </c>
      <c r="G45" s="69">
        <f>G43</f>
        <v>5880</v>
      </c>
      <c r="H45" s="69">
        <f>H43</f>
        <v>8280</v>
      </c>
      <c r="I45" s="69">
        <f>I43</f>
        <v>10780</v>
      </c>
      <c r="J45" s="69">
        <f aca="true" t="shared" si="15" ref="J45:O45">J43-1400</f>
        <v>11600</v>
      </c>
      <c r="K45" s="69">
        <f t="shared" si="15"/>
        <v>13060</v>
      </c>
      <c r="L45" s="69">
        <f t="shared" si="15"/>
        <v>13960</v>
      </c>
      <c r="M45" s="69">
        <f t="shared" si="15"/>
        <v>14360</v>
      </c>
      <c r="N45" s="69">
        <f t="shared" si="15"/>
        <v>14560</v>
      </c>
      <c r="O45" s="69">
        <f t="shared" si="15"/>
        <v>14560</v>
      </c>
      <c r="P45" s="62">
        <f>SUM(E45:O45)</f>
        <v>113000</v>
      </c>
      <c r="Q45" t="s">
        <v>176</v>
      </c>
    </row>
    <row r="46" spans="2:13" ht="12.75">
      <c r="B46" s="76"/>
      <c r="C46" s="76"/>
      <c r="D46" s="76"/>
      <c r="E46" s="139"/>
      <c r="F46" s="139"/>
      <c r="G46" s="139"/>
      <c r="H46" s="139"/>
      <c r="I46" s="139"/>
      <c r="J46" s="139"/>
      <c r="K46" s="139"/>
      <c r="L46" s="139"/>
      <c r="M46" s="76"/>
    </row>
    <row r="47" spans="1:16" ht="12.75">
      <c r="A47">
        <v>2</v>
      </c>
      <c r="B47" s="76">
        <v>35300</v>
      </c>
      <c r="C47" s="76" t="s">
        <v>177</v>
      </c>
      <c r="D47" s="76" t="s">
        <v>41</v>
      </c>
      <c r="E47" s="139">
        <f>E45*0.6</f>
        <v>1308</v>
      </c>
      <c r="F47" s="139">
        <f>F45*0.6+E45*0.2</f>
        <v>2704</v>
      </c>
      <c r="G47" s="139">
        <f>G45*0.6+F45*0.2+E45*0.1</f>
        <v>4502</v>
      </c>
      <c r="H47" s="139">
        <f>H45*0.6+G45*0.2+F45*0.1+E45*0.1</f>
        <v>6740</v>
      </c>
      <c r="I47" s="139">
        <f aca="true" t="shared" si="16" ref="I47:O47">I45*0.6+H45*0.2+G45*0.1+F45*0.1</f>
        <v>9090</v>
      </c>
      <c r="J47" s="139">
        <f t="shared" si="16"/>
        <v>10532</v>
      </c>
      <c r="K47" s="139">
        <f t="shared" si="16"/>
        <v>12062</v>
      </c>
      <c r="L47" s="139">
        <f t="shared" si="16"/>
        <v>13226</v>
      </c>
      <c r="M47" s="139">
        <f t="shared" si="16"/>
        <v>13874</v>
      </c>
      <c r="N47" s="139">
        <f t="shared" si="16"/>
        <v>14310</v>
      </c>
      <c r="O47" s="139">
        <f t="shared" si="16"/>
        <v>14480</v>
      </c>
      <c r="P47" s="62">
        <f>SUM(E47:O47)</f>
        <v>102828</v>
      </c>
    </row>
    <row r="48" spans="1:16" ht="12.75">
      <c r="A48">
        <v>2</v>
      </c>
      <c r="B48" s="76">
        <v>20250</v>
      </c>
      <c r="C48" s="76"/>
      <c r="D48" s="76" t="s">
        <v>66</v>
      </c>
      <c r="E48" s="139">
        <f aca="true" t="shared" si="17" ref="E48:O48">E45</f>
        <v>2180</v>
      </c>
      <c r="F48" s="139">
        <f t="shared" si="17"/>
        <v>3780</v>
      </c>
      <c r="G48" s="139">
        <f t="shared" si="17"/>
        <v>5880</v>
      </c>
      <c r="H48" s="139">
        <f t="shared" si="17"/>
        <v>8280</v>
      </c>
      <c r="I48" s="139">
        <f t="shared" si="17"/>
        <v>10780</v>
      </c>
      <c r="J48" s="139">
        <f t="shared" si="17"/>
        <v>11600</v>
      </c>
      <c r="K48" s="139">
        <f t="shared" si="17"/>
        <v>13060</v>
      </c>
      <c r="L48" s="139">
        <f t="shared" si="17"/>
        <v>13960</v>
      </c>
      <c r="M48" s="139">
        <f t="shared" si="17"/>
        <v>14360</v>
      </c>
      <c r="N48" s="62">
        <f t="shared" si="17"/>
        <v>14560</v>
      </c>
      <c r="O48" s="62">
        <f t="shared" si="17"/>
        <v>14560</v>
      </c>
      <c r="P48" s="62">
        <f>SUM(E48:O48)</f>
        <v>113000</v>
      </c>
    </row>
    <row r="49" spans="1:15" ht="12.75">
      <c r="A49">
        <v>2</v>
      </c>
      <c r="B49" s="76">
        <v>20250</v>
      </c>
      <c r="C49" s="76"/>
      <c r="D49" s="76" t="s">
        <v>167</v>
      </c>
      <c r="E49" s="76">
        <f>2750*E52</f>
        <v>44000</v>
      </c>
      <c r="F49" s="76">
        <f aca="true" t="shared" si="18" ref="F49:O49">2750*F52</f>
        <v>49500</v>
      </c>
      <c r="G49" s="76">
        <f t="shared" si="18"/>
        <v>52250</v>
      </c>
      <c r="H49" s="76">
        <f t="shared" si="18"/>
        <v>55000</v>
      </c>
      <c r="I49" s="76">
        <f t="shared" si="18"/>
        <v>55000</v>
      </c>
      <c r="J49" s="76">
        <f t="shared" si="18"/>
        <v>55000</v>
      </c>
      <c r="K49" s="76">
        <f t="shared" si="18"/>
        <v>55000</v>
      </c>
      <c r="L49" s="76">
        <f t="shared" si="18"/>
        <v>55000</v>
      </c>
      <c r="M49" s="76">
        <f t="shared" si="18"/>
        <v>55000</v>
      </c>
      <c r="N49" s="76">
        <f t="shared" si="18"/>
        <v>55000</v>
      </c>
      <c r="O49" s="76">
        <f t="shared" si="18"/>
        <v>55000</v>
      </c>
    </row>
    <row r="50" spans="1:15" ht="12.75">
      <c r="A50">
        <v>2</v>
      </c>
      <c r="B50" s="76">
        <v>20250</v>
      </c>
      <c r="C50" s="76" t="s">
        <v>178</v>
      </c>
      <c r="D50" s="76" t="s">
        <v>168</v>
      </c>
      <c r="E50" s="76">
        <v>0</v>
      </c>
      <c r="F50" s="76">
        <v>0</v>
      </c>
      <c r="G50" s="76">
        <v>0</v>
      </c>
      <c r="H50" s="139">
        <f>H41*0.01</f>
        <v>30</v>
      </c>
      <c r="I50" s="139">
        <f aca="true" t="shared" si="19" ref="I50:O50">I41*0.01</f>
        <v>38.6</v>
      </c>
      <c r="J50" s="139">
        <f t="shared" si="19"/>
        <v>47.2</v>
      </c>
      <c r="K50" s="139">
        <f t="shared" si="19"/>
        <v>51.2</v>
      </c>
      <c r="L50" s="139">
        <f t="shared" si="19"/>
        <v>53.2</v>
      </c>
      <c r="M50" s="139">
        <f t="shared" si="19"/>
        <v>53.2</v>
      </c>
      <c r="N50" s="139">
        <f t="shared" si="19"/>
        <v>53.2</v>
      </c>
      <c r="O50" s="139">
        <f t="shared" si="19"/>
        <v>53.2</v>
      </c>
    </row>
    <row r="52" spans="3:15" ht="12.75">
      <c r="C52" t="s">
        <v>179</v>
      </c>
      <c r="E52">
        <f>E44+8</f>
        <v>16</v>
      </c>
      <c r="F52">
        <f aca="true" t="shared" si="20" ref="F52:O52">F44+8</f>
        <v>18</v>
      </c>
      <c r="G52">
        <f t="shared" si="20"/>
        <v>19</v>
      </c>
      <c r="H52">
        <f t="shared" si="20"/>
        <v>20</v>
      </c>
      <c r="I52">
        <f t="shared" si="20"/>
        <v>20</v>
      </c>
      <c r="J52">
        <f t="shared" si="20"/>
        <v>20</v>
      </c>
      <c r="K52">
        <f t="shared" si="20"/>
        <v>20</v>
      </c>
      <c r="L52">
        <f t="shared" si="20"/>
        <v>20</v>
      </c>
      <c r="M52">
        <f t="shared" si="20"/>
        <v>20</v>
      </c>
      <c r="N52">
        <f t="shared" si="20"/>
        <v>20</v>
      </c>
      <c r="O52">
        <f t="shared" si="20"/>
        <v>20</v>
      </c>
    </row>
    <row r="53" spans="1:16" ht="12.75">
      <c r="A53" t="s">
        <v>74</v>
      </c>
      <c r="B53">
        <f>B50*6+B47*A47</f>
        <v>192100</v>
      </c>
      <c r="C53" t="s">
        <v>180</v>
      </c>
      <c r="E53" s="148">
        <f>($B$53+E44*$B$44)/1000</f>
        <v>394.1</v>
      </c>
      <c r="F53" s="148">
        <f aca="true" t="shared" si="21" ref="F53:O53">($B$53+F44*$B$44)/1000</f>
        <v>444.6</v>
      </c>
      <c r="G53" s="148">
        <f t="shared" si="21"/>
        <v>469.85</v>
      </c>
      <c r="H53" s="148">
        <f t="shared" si="21"/>
        <v>495.1</v>
      </c>
      <c r="I53" s="148">
        <f t="shared" si="21"/>
        <v>495.1</v>
      </c>
      <c r="J53" s="148">
        <f t="shared" si="21"/>
        <v>495.1</v>
      </c>
      <c r="K53" s="148">
        <f t="shared" si="21"/>
        <v>495.1</v>
      </c>
      <c r="L53" s="148">
        <f t="shared" si="21"/>
        <v>495.1</v>
      </c>
      <c r="M53" s="148">
        <f t="shared" si="21"/>
        <v>495.1</v>
      </c>
      <c r="N53" s="148">
        <f t="shared" si="21"/>
        <v>495.1</v>
      </c>
      <c r="O53" s="148">
        <f t="shared" si="21"/>
        <v>495.1</v>
      </c>
      <c r="P53" s="148">
        <f>SUM(E53:O53)</f>
        <v>5269.35</v>
      </c>
    </row>
    <row r="54" spans="3:16" ht="12.75">
      <c r="C54" t="s">
        <v>181</v>
      </c>
      <c r="E54" s="148">
        <f>E43*0.04+E47*0.008+E48/9*0.015+E50*0.1</f>
        <v>101.29733333333334</v>
      </c>
      <c r="F54" s="148">
        <f aca="true" t="shared" si="22" ref="F54:O54">F43*0.04+F47*0.008+F48/9*0.015+F50*0.1</f>
        <v>179.13200000000003</v>
      </c>
      <c r="G54" s="148">
        <f t="shared" si="22"/>
        <v>281.016</v>
      </c>
      <c r="H54" s="148">
        <f t="shared" si="22"/>
        <v>401.92</v>
      </c>
      <c r="I54" s="148">
        <f t="shared" si="22"/>
        <v>525.7466666666667</v>
      </c>
      <c r="J54" s="148">
        <f t="shared" si="22"/>
        <v>628.3093333333334</v>
      </c>
      <c r="K54" s="148">
        <f t="shared" si="22"/>
        <v>701.7826666666666</v>
      </c>
      <c r="L54" s="148">
        <f t="shared" si="22"/>
        <v>748.7946666666667</v>
      </c>
      <c r="M54" s="148">
        <f t="shared" si="22"/>
        <v>770.6453333333333</v>
      </c>
      <c r="N54" s="148">
        <f t="shared" si="22"/>
        <v>782.4666666666667</v>
      </c>
      <c r="O54" s="148">
        <f t="shared" si="22"/>
        <v>783.8266666666667</v>
      </c>
      <c r="P54" s="148">
        <f>SUM(E54:O54)</f>
        <v>5904.937333333334</v>
      </c>
    </row>
    <row r="55" spans="3:15" ht="12.75">
      <c r="C55" t="s">
        <v>182</v>
      </c>
      <c r="E55">
        <f>250+15*(E44-3)</f>
        <v>325</v>
      </c>
      <c r="F55">
        <f aca="true" t="shared" si="23" ref="F55:O55">250+15*(F44-3)</f>
        <v>355</v>
      </c>
      <c r="G55">
        <f t="shared" si="23"/>
        <v>370</v>
      </c>
      <c r="H55">
        <f t="shared" si="23"/>
        <v>385</v>
      </c>
      <c r="I55">
        <f t="shared" si="23"/>
        <v>385</v>
      </c>
      <c r="J55">
        <f t="shared" si="23"/>
        <v>385</v>
      </c>
      <c r="K55">
        <f t="shared" si="23"/>
        <v>385</v>
      </c>
      <c r="L55">
        <f t="shared" si="23"/>
        <v>385</v>
      </c>
      <c r="M55">
        <f t="shared" si="23"/>
        <v>385</v>
      </c>
      <c r="N55">
        <f t="shared" si="23"/>
        <v>385</v>
      </c>
      <c r="O55">
        <f t="shared" si="23"/>
        <v>385</v>
      </c>
    </row>
    <row r="56" spans="3:15" ht="12.75">
      <c r="C56" t="s">
        <v>183</v>
      </c>
      <c r="E56" s="148">
        <f>E54-E53-E55</f>
        <v>-617.8026666666667</v>
      </c>
      <c r="F56" s="148">
        <f aca="true" t="shared" si="24" ref="F56:O56">F54-F53-F55</f>
        <v>-620.468</v>
      </c>
      <c r="G56" s="148">
        <f t="shared" si="24"/>
        <v>-558.8340000000001</v>
      </c>
      <c r="H56" s="148">
        <f t="shared" si="24"/>
        <v>-478.18</v>
      </c>
      <c r="I56" s="148">
        <f t="shared" si="24"/>
        <v>-354.35333333333335</v>
      </c>
      <c r="J56" s="148">
        <f t="shared" si="24"/>
        <v>-251.79066666666665</v>
      </c>
      <c r="K56" s="148">
        <f t="shared" si="24"/>
        <v>-178.3173333333334</v>
      </c>
      <c r="L56" s="148">
        <f t="shared" si="24"/>
        <v>-131.30533333333335</v>
      </c>
      <c r="M56" s="148">
        <f t="shared" si="24"/>
        <v>-109.45466666666675</v>
      </c>
      <c r="N56" s="148">
        <f t="shared" si="24"/>
        <v>-97.63333333333333</v>
      </c>
      <c r="O56" s="148">
        <f t="shared" si="24"/>
        <v>-96.27333333333331</v>
      </c>
    </row>
    <row r="57" spans="3:16" ht="12.75">
      <c r="C57" t="s">
        <v>185</v>
      </c>
      <c r="E57" s="148">
        <f>E56+100</f>
        <v>-517.8026666666667</v>
      </c>
      <c r="F57" s="148">
        <f aca="true" t="shared" si="25" ref="F57:O57">F56+100</f>
        <v>-520.468</v>
      </c>
      <c r="G57" s="148">
        <f t="shared" si="25"/>
        <v>-458.83400000000006</v>
      </c>
      <c r="H57" s="148">
        <f t="shared" si="25"/>
        <v>-378.18</v>
      </c>
      <c r="I57" s="148">
        <f t="shared" si="25"/>
        <v>-254.35333333333335</v>
      </c>
      <c r="J57" s="148">
        <f t="shared" si="25"/>
        <v>-151.79066666666665</v>
      </c>
      <c r="K57" s="148">
        <f t="shared" si="25"/>
        <v>-78.31733333333341</v>
      </c>
      <c r="L57" s="148">
        <f t="shared" si="25"/>
        <v>-31.30533333333335</v>
      </c>
      <c r="M57" s="148">
        <f t="shared" si="25"/>
        <v>-9.454666666666753</v>
      </c>
      <c r="N57" s="148">
        <f t="shared" si="25"/>
        <v>2.3666666666666742</v>
      </c>
      <c r="O57" s="148">
        <f t="shared" si="25"/>
        <v>3.726666666666688</v>
      </c>
      <c r="P57" s="148">
        <f>SUM(E57:O57)</f>
        <v>-2394.412666666667</v>
      </c>
    </row>
    <row r="58" ht="12.75">
      <c r="K58" t="s">
        <v>184</v>
      </c>
    </row>
    <row r="59" spans="3:15" ht="12.75">
      <c r="C59" t="s">
        <v>186</v>
      </c>
      <c r="E59" s="62">
        <f>E45*0.15</f>
        <v>327</v>
      </c>
      <c r="F59" s="62">
        <f aca="true" t="shared" si="26" ref="F59:O59">F45*0.15</f>
        <v>567</v>
      </c>
      <c r="G59" s="62">
        <f t="shared" si="26"/>
        <v>882</v>
      </c>
      <c r="H59" s="62">
        <f t="shared" si="26"/>
        <v>1242</v>
      </c>
      <c r="I59" s="62">
        <f t="shared" si="26"/>
        <v>1617</v>
      </c>
      <c r="J59" s="62">
        <f t="shared" si="26"/>
        <v>1740</v>
      </c>
      <c r="K59" s="62">
        <f t="shared" si="26"/>
        <v>1959</v>
      </c>
      <c r="L59" s="62">
        <f t="shared" si="26"/>
        <v>2094</v>
      </c>
      <c r="M59" s="62">
        <f t="shared" si="26"/>
        <v>2154</v>
      </c>
      <c r="N59" s="62">
        <f t="shared" si="26"/>
        <v>2184</v>
      </c>
      <c r="O59" s="62">
        <f t="shared" si="26"/>
        <v>2184</v>
      </c>
    </row>
    <row r="60" spans="3:15" ht="12.75">
      <c r="C60" t="s">
        <v>187</v>
      </c>
      <c r="E60" s="148">
        <f>E59+E57</f>
        <v>-190.8026666666667</v>
      </c>
      <c r="F60" s="148">
        <f aca="true" t="shared" si="27" ref="F60:O60">F59+F57</f>
        <v>46.53200000000004</v>
      </c>
      <c r="G60" s="148">
        <f t="shared" si="27"/>
        <v>423.16599999999994</v>
      </c>
      <c r="H60" s="148">
        <f t="shared" si="27"/>
        <v>863.8199999999999</v>
      </c>
      <c r="I60" s="148">
        <f t="shared" si="27"/>
        <v>1362.6466666666665</v>
      </c>
      <c r="J60" s="148">
        <f t="shared" si="27"/>
        <v>1588.2093333333332</v>
      </c>
      <c r="K60" s="148">
        <f t="shared" si="27"/>
        <v>1880.6826666666666</v>
      </c>
      <c r="L60" s="148">
        <f t="shared" si="27"/>
        <v>2062.6946666666668</v>
      </c>
      <c r="M60" s="148">
        <f t="shared" si="27"/>
        <v>2144.5453333333335</v>
      </c>
      <c r="N60" s="148">
        <f t="shared" si="27"/>
        <v>2186.366666666667</v>
      </c>
      <c r="O60" s="148">
        <f t="shared" si="27"/>
        <v>2187.7266666666665</v>
      </c>
    </row>
    <row r="61" spans="3:16" ht="12.75">
      <c r="C61" t="s">
        <v>189</v>
      </c>
      <c r="E61" s="149">
        <f>IF(E60&lt;0,E60,E60*0.72)</f>
        <v>-190.8026666666667</v>
      </c>
      <c r="F61" s="149">
        <f aca="true" t="shared" si="28" ref="F61:O61">IF(F60&lt;0,F60,F60*0.72)</f>
        <v>33.50304000000003</v>
      </c>
      <c r="G61" s="149">
        <f t="shared" si="28"/>
        <v>304.67951999999997</v>
      </c>
      <c r="H61" s="149">
        <f t="shared" si="28"/>
        <v>621.9504</v>
      </c>
      <c r="I61" s="149">
        <f t="shared" si="28"/>
        <v>981.1055999999999</v>
      </c>
      <c r="J61" s="149">
        <f t="shared" si="28"/>
        <v>1143.51072</v>
      </c>
      <c r="K61" s="149">
        <f t="shared" si="28"/>
        <v>1354.09152</v>
      </c>
      <c r="L61" s="149">
        <f t="shared" si="28"/>
        <v>1485.14016</v>
      </c>
      <c r="M61" s="149">
        <f t="shared" si="28"/>
        <v>1544.07264</v>
      </c>
      <c r="N61" s="149">
        <f t="shared" si="28"/>
        <v>1574.184</v>
      </c>
      <c r="O61" s="149">
        <f t="shared" si="28"/>
        <v>1575.1631999999997</v>
      </c>
      <c r="P61" s="150">
        <f>SUM(E61:O61)</f>
        <v>10426.598133333333</v>
      </c>
    </row>
    <row r="62" spans="3:8" ht="12.75">
      <c r="C62" s="148">
        <f>P57</f>
        <v>-2394.412666666667</v>
      </c>
      <c r="D62" t="s">
        <v>188</v>
      </c>
      <c r="H62" t="s">
        <v>190</v>
      </c>
    </row>
    <row r="64" spans="3:12" ht="13.5" thickBot="1">
      <c r="C64" t="s">
        <v>191</v>
      </c>
      <c r="I64" t="s">
        <v>165</v>
      </c>
      <c r="L64" t="s">
        <v>192</v>
      </c>
    </row>
    <row r="65" spans="1:12" ht="13.5" thickBot="1">
      <c r="A65" s="567" t="s">
        <v>203</v>
      </c>
      <c r="B65" s="568"/>
      <c r="C65" s="569"/>
      <c r="L65" t="s">
        <v>193</v>
      </c>
    </row>
    <row r="66" spans="1:15" ht="12.75">
      <c r="A66" s="160"/>
      <c r="B66" s="160"/>
      <c r="C66" s="161"/>
      <c r="D66" s="159" t="s">
        <v>195</v>
      </c>
      <c r="E66" s="155" t="s">
        <v>196</v>
      </c>
      <c r="F66" s="155" t="s">
        <v>197</v>
      </c>
      <c r="G66" s="155" t="s">
        <v>194</v>
      </c>
      <c r="H66" s="155" t="s">
        <v>198</v>
      </c>
      <c r="I66" s="155" t="s">
        <v>199</v>
      </c>
      <c r="J66" s="155" t="s">
        <v>200</v>
      </c>
      <c r="K66" s="155" t="s">
        <v>201</v>
      </c>
      <c r="L66" s="155" t="s">
        <v>202</v>
      </c>
      <c r="M66" s="152"/>
      <c r="N66" s="152"/>
      <c r="O66" s="156"/>
    </row>
    <row r="67" spans="1:15" ht="12.75">
      <c r="A67" s="162"/>
      <c r="B67" s="160"/>
      <c r="C67" s="160"/>
      <c r="D67" s="127">
        <v>1</v>
      </c>
      <c r="E67" s="127">
        <v>3.33</v>
      </c>
      <c r="F67" s="151">
        <f>E67</f>
        <v>3.33</v>
      </c>
      <c r="G67" s="151">
        <f>100*(100-D67)/100</f>
        <v>99</v>
      </c>
      <c r="H67" s="127">
        <f>10</f>
        <v>10</v>
      </c>
      <c r="I67" s="151">
        <f>G67*0.06+100*0.04*(100-F67)/100</f>
        <v>9.806799999999999</v>
      </c>
      <c r="J67" s="151">
        <f>100-H67</f>
        <v>90</v>
      </c>
      <c r="K67" s="151">
        <f>G67-I67</f>
        <v>89.1932</v>
      </c>
      <c r="L67" s="151">
        <f>J67-K67</f>
        <v>0.8067999999999955</v>
      </c>
      <c r="M67" s="153"/>
      <c r="N67" s="153"/>
      <c r="O67" s="157"/>
    </row>
    <row r="68" spans="1:15" ht="12.75" customHeight="1">
      <c r="A68" s="162"/>
      <c r="B68" s="160"/>
      <c r="C68" s="160"/>
      <c r="D68" s="127">
        <v>2</v>
      </c>
      <c r="E68" s="127">
        <v>3.33</v>
      </c>
      <c r="F68" s="151">
        <f aca="true" t="shared" si="29" ref="F68:F73">F67+E68</f>
        <v>6.66</v>
      </c>
      <c r="G68" s="151">
        <f aca="true" t="shared" si="30" ref="G68:G73">100*(100-D68)/100</f>
        <v>98</v>
      </c>
      <c r="H68" s="127">
        <f>10</f>
        <v>10</v>
      </c>
      <c r="I68" s="151">
        <f aca="true" t="shared" si="31" ref="I68:I73">G68*0.06+100*0.04*(100-F68)/100</f>
        <v>9.6136</v>
      </c>
      <c r="J68" s="151">
        <f aca="true" t="shared" si="32" ref="J68:J73">100-H68</f>
        <v>90</v>
      </c>
      <c r="K68" s="151">
        <f aca="true" t="shared" si="33" ref="K68:K73">G68-I68</f>
        <v>88.3864</v>
      </c>
      <c r="L68" s="151">
        <f aca="true" t="shared" si="34" ref="L68:L73">J68-K68</f>
        <v>1.6136000000000053</v>
      </c>
      <c r="M68" s="570" t="s">
        <v>205</v>
      </c>
      <c r="N68" s="571"/>
      <c r="O68" s="572"/>
    </row>
    <row r="69" spans="1:15" ht="12.75">
      <c r="A69" s="162"/>
      <c r="B69" s="160"/>
      <c r="C69" s="160"/>
      <c r="D69" s="127">
        <v>3</v>
      </c>
      <c r="E69" s="127">
        <v>3.34</v>
      </c>
      <c r="F69" s="151">
        <f t="shared" si="29"/>
        <v>10</v>
      </c>
      <c r="G69" s="151">
        <f t="shared" si="30"/>
        <v>97</v>
      </c>
      <c r="H69" s="127">
        <f>10</f>
        <v>10</v>
      </c>
      <c r="I69" s="151">
        <f t="shared" si="31"/>
        <v>9.42</v>
      </c>
      <c r="J69" s="151">
        <f t="shared" si="32"/>
        <v>90</v>
      </c>
      <c r="K69" s="151">
        <f t="shared" si="33"/>
        <v>87.58</v>
      </c>
      <c r="L69" s="151">
        <f t="shared" si="34"/>
        <v>2.4200000000000017</v>
      </c>
      <c r="M69" s="570"/>
      <c r="N69" s="571"/>
      <c r="O69" s="572"/>
    </row>
    <row r="70" spans="1:15" ht="12.75">
      <c r="A70" s="162"/>
      <c r="B70" s="160"/>
      <c r="C70" s="160"/>
      <c r="D70" s="127">
        <v>4</v>
      </c>
      <c r="E70" s="127">
        <v>5</v>
      </c>
      <c r="F70" s="151">
        <f t="shared" si="29"/>
        <v>15</v>
      </c>
      <c r="G70" s="151">
        <f t="shared" si="30"/>
        <v>96</v>
      </c>
      <c r="H70" s="127">
        <f>10</f>
        <v>10</v>
      </c>
      <c r="I70" s="151">
        <f t="shared" si="31"/>
        <v>9.16</v>
      </c>
      <c r="J70" s="151">
        <f t="shared" si="32"/>
        <v>90</v>
      </c>
      <c r="K70" s="151">
        <f t="shared" si="33"/>
        <v>86.84</v>
      </c>
      <c r="L70" s="151">
        <f t="shared" si="34"/>
        <v>3.1599999999999966</v>
      </c>
      <c r="M70" s="153"/>
      <c r="N70" s="153"/>
      <c r="O70" s="157"/>
    </row>
    <row r="71" spans="1:15" ht="12.75">
      <c r="A71" s="162"/>
      <c r="B71" s="160"/>
      <c r="C71" s="160"/>
      <c r="D71" s="127">
        <v>5</v>
      </c>
      <c r="E71" s="127">
        <v>5</v>
      </c>
      <c r="F71" s="151">
        <f t="shared" si="29"/>
        <v>20</v>
      </c>
      <c r="G71" s="151">
        <f t="shared" si="30"/>
        <v>95</v>
      </c>
      <c r="H71" s="127">
        <f>10</f>
        <v>10</v>
      </c>
      <c r="I71" s="151">
        <f t="shared" si="31"/>
        <v>8.9</v>
      </c>
      <c r="J71" s="151">
        <f t="shared" si="32"/>
        <v>90</v>
      </c>
      <c r="K71" s="151">
        <f t="shared" si="33"/>
        <v>86.1</v>
      </c>
      <c r="L71" s="151">
        <f t="shared" si="34"/>
        <v>3.9000000000000057</v>
      </c>
      <c r="M71" s="153"/>
      <c r="N71" s="153"/>
      <c r="O71" s="157"/>
    </row>
    <row r="72" spans="1:15" ht="12.75">
      <c r="A72" s="162"/>
      <c r="B72" s="160"/>
      <c r="C72" s="160"/>
      <c r="D72" s="127">
        <v>6</v>
      </c>
      <c r="E72" s="127">
        <v>10</v>
      </c>
      <c r="F72" s="151">
        <f t="shared" si="29"/>
        <v>30</v>
      </c>
      <c r="G72" s="151">
        <f t="shared" si="30"/>
        <v>94</v>
      </c>
      <c r="H72" s="127">
        <f>10</f>
        <v>10</v>
      </c>
      <c r="I72" s="151">
        <f t="shared" si="31"/>
        <v>8.44</v>
      </c>
      <c r="J72" s="151">
        <f t="shared" si="32"/>
        <v>90</v>
      </c>
      <c r="K72" s="151">
        <f t="shared" si="33"/>
        <v>85.56</v>
      </c>
      <c r="L72" s="151">
        <f t="shared" si="34"/>
        <v>4.439999999999998</v>
      </c>
      <c r="M72" s="153"/>
      <c r="N72" s="153"/>
      <c r="O72" s="157"/>
    </row>
    <row r="73" spans="1:15" ht="12.75">
      <c r="A73" s="162"/>
      <c r="B73" s="160"/>
      <c r="C73" s="160"/>
      <c r="D73" s="127">
        <v>7</v>
      </c>
      <c r="E73" s="127">
        <v>20</v>
      </c>
      <c r="F73" s="151">
        <f t="shared" si="29"/>
        <v>50</v>
      </c>
      <c r="G73" s="151">
        <f t="shared" si="30"/>
        <v>93</v>
      </c>
      <c r="H73" s="127">
        <f>10</f>
        <v>10</v>
      </c>
      <c r="I73" s="151">
        <f t="shared" si="31"/>
        <v>7.58</v>
      </c>
      <c r="J73" s="151">
        <f t="shared" si="32"/>
        <v>90</v>
      </c>
      <c r="K73" s="151">
        <f t="shared" si="33"/>
        <v>85.42</v>
      </c>
      <c r="L73" s="151">
        <f t="shared" si="34"/>
        <v>4.579999999999998</v>
      </c>
      <c r="M73" s="153"/>
      <c r="N73" s="153"/>
      <c r="O73" s="157"/>
    </row>
    <row r="74" spans="1:15" ht="12.75">
      <c r="A74" s="162"/>
      <c r="B74" s="160"/>
      <c r="C74" s="160"/>
      <c r="D74" s="153"/>
      <c r="E74" s="153"/>
      <c r="F74" s="153"/>
      <c r="G74" s="153"/>
      <c r="H74" s="153"/>
      <c r="I74" s="153"/>
      <c r="J74" s="153"/>
      <c r="K74" s="153"/>
      <c r="L74" s="153"/>
      <c r="M74" s="153"/>
      <c r="N74" s="153"/>
      <c r="O74" s="157"/>
    </row>
    <row r="75" spans="1:15" ht="13.5" thickBot="1">
      <c r="A75" s="163"/>
      <c r="B75" s="164">
        <v>100</v>
      </c>
      <c r="C75" s="164"/>
      <c r="D75" s="154" t="s">
        <v>204</v>
      </c>
      <c r="E75" s="154"/>
      <c r="F75" s="154"/>
      <c r="G75" s="154"/>
      <c r="H75" s="154"/>
      <c r="I75" s="154"/>
      <c r="J75" s="154"/>
      <c r="K75" s="154"/>
      <c r="L75" s="154"/>
      <c r="M75" s="154"/>
      <c r="N75" s="154"/>
      <c r="O75" s="158"/>
    </row>
    <row r="76" spans="2:12" ht="12.75">
      <c r="B76" s="76"/>
      <c r="I76" s="151">
        <f>D67</f>
        <v>1</v>
      </c>
      <c r="J76">
        <f>(90-100*0.8)*0.72</f>
        <v>7.199999999999999</v>
      </c>
      <c r="K76">
        <f>(K67-100*0.8)*0.72</f>
        <v>6.619104000000003</v>
      </c>
      <c r="L76" s="151">
        <f aca="true" t="shared" si="35" ref="L76:L82">J76-K76</f>
        <v>0.5808959999999965</v>
      </c>
    </row>
    <row r="77" spans="2:12" ht="12.75">
      <c r="B77" s="76"/>
      <c r="I77" s="151">
        <f aca="true" t="shared" si="36" ref="I77:I82">D68</f>
        <v>2</v>
      </c>
      <c r="J77">
        <f aca="true" t="shared" si="37" ref="J77:J82">(90-100*0.8)*0.72</f>
        <v>7.199999999999999</v>
      </c>
      <c r="K77">
        <f aca="true" t="shared" si="38" ref="K77:K82">(K68-100*0.8)*0.72</f>
        <v>6.038207999999996</v>
      </c>
      <c r="L77" s="151">
        <f t="shared" si="35"/>
        <v>1.1617920000000037</v>
      </c>
    </row>
    <row r="78" spans="9:13" ht="12.75">
      <c r="I78" s="151">
        <f t="shared" si="36"/>
        <v>3</v>
      </c>
      <c r="J78">
        <f t="shared" si="37"/>
        <v>7.199999999999999</v>
      </c>
      <c r="K78">
        <f t="shared" si="38"/>
        <v>5.4575999999999985</v>
      </c>
      <c r="L78" s="151">
        <f t="shared" si="35"/>
        <v>1.7424000000000008</v>
      </c>
      <c r="M78" t="s">
        <v>208</v>
      </c>
    </row>
    <row r="79" spans="9:12" ht="12.75">
      <c r="I79" s="151">
        <f t="shared" si="36"/>
        <v>4</v>
      </c>
      <c r="J79">
        <f t="shared" si="37"/>
        <v>7.199999999999999</v>
      </c>
      <c r="K79">
        <f t="shared" si="38"/>
        <v>4.924800000000002</v>
      </c>
      <c r="L79" s="151">
        <f t="shared" si="35"/>
        <v>2.2751999999999972</v>
      </c>
    </row>
    <row r="80" spans="9:12" ht="12.75">
      <c r="I80" s="151">
        <f t="shared" si="36"/>
        <v>5</v>
      </c>
      <c r="J80">
        <f t="shared" si="37"/>
        <v>7.199999999999999</v>
      </c>
      <c r="K80">
        <f t="shared" si="38"/>
        <v>4.391999999999996</v>
      </c>
      <c r="L80" s="151">
        <f t="shared" si="35"/>
        <v>2.8080000000000034</v>
      </c>
    </row>
    <row r="81" spans="9:12" ht="12.75">
      <c r="I81" s="151">
        <f t="shared" si="36"/>
        <v>6</v>
      </c>
      <c r="J81">
        <f t="shared" si="37"/>
        <v>7.199999999999999</v>
      </c>
      <c r="K81">
        <f t="shared" si="38"/>
        <v>4.003200000000001</v>
      </c>
      <c r="L81" s="151">
        <f t="shared" si="35"/>
        <v>3.196799999999998</v>
      </c>
    </row>
    <row r="82" spans="9:12" ht="12.75">
      <c r="I82" s="151">
        <f t="shared" si="36"/>
        <v>7</v>
      </c>
      <c r="J82">
        <f t="shared" si="37"/>
        <v>7.199999999999999</v>
      </c>
      <c r="K82">
        <f t="shared" si="38"/>
        <v>3.902400000000001</v>
      </c>
      <c r="L82" s="151">
        <f t="shared" si="35"/>
        <v>3.2975999999999983</v>
      </c>
    </row>
  </sheetData>
  <mergeCells count="4">
    <mergeCell ref="A1:C1"/>
    <mergeCell ref="L15:O27"/>
    <mergeCell ref="A65:C65"/>
    <mergeCell ref="M68:O69"/>
  </mergeCells>
  <printOptions/>
  <pageMargins left="0.75" right="0.75" top="1" bottom="1" header="0.5" footer="0.5"/>
  <pageSetup horizontalDpi="600" verticalDpi="600" orientation="landscape" paperSize="9" scale="88" r:id="rId1"/>
  <ignoredErrors>
    <ignoredError sqref="F1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28"/>
  <sheetViews>
    <sheetView workbookViewId="0" topLeftCell="A1">
      <selection activeCell="N18" sqref="N18"/>
    </sheetView>
  </sheetViews>
  <sheetFormatPr defaultColWidth="9.00390625" defaultRowHeight="12.75"/>
  <cols>
    <col min="1" max="1" width="11.75390625" style="1" customWidth="1"/>
    <col min="2" max="2" width="11.00390625" style="1" customWidth="1"/>
    <col min="3" max="3" width="10.00390625" style="1" customWidth="1"/>
    <col min="4" max="4" width="10.125" style="1" customWidth="1"/>
    <col min="5" max="8" width="9.125" style="1" customWidth="1"/>
    <col min="9" max="9" width="11.375" style="1" customWidth="1"/>
    <col min="10" max="16" width="9.125" style="1" customWidth="1"/>
    <col min="17" max="17" width="10.875" style="1" bestFit="1" customWidth="1"/>
    <col min="18" max="16384" width="9.125" style="1" customWidth="1"/>
  </cols>
  <sheetData>
    <row r="1" spans="1:2" ht="12.75">
      <c r="A1" s="473" t="s">
        <v>128</v>
      </c>
      <c r="B1" s="473"/>
    </row>
    <row r="3" spans="1:11" ht="12.75">
      <c r="A3" s="135" t="s">
        <v>133</v>
      </c>
      <c r="B3" s="210">
        <v>4</v>
      </c>
      <c r="I3" s="2" t="s">
        <v>384</v>
      </c>
      <c r="J3" s="389">
        <v>4</v>
      </c>
      <c r="K3" s="1" t="s">
        <v>385</v>
      </c>
    </row>
    <row r="4" spans="1:18" ht="12.75">
      <c r="A4" s="3"/>
      <c r="B4" s="4" t="s">
        <v>0</v>
      </c>
      <c r="C4" s="4" t="s">
        <v>1</v>
      </c>
      <c r="D4" s="4" t="s">
        <v>6</v>
      </c>
      <c r="E4" s="4" t="s">
        <v>4</v>
      </c>
      <c r="F4" s="4" t="s">
        <v>226</v>
      </c>
      <c r="G4" s="4" t="s">
        <v>5</v>
      </c>
      <c r="H4" s="4" t="s">
        <v>227</v>
      </c>
      <c r="I4" s="4" t="s">
        <v>6</v>
      </c>
      <c r="J4" s="4" t="s">
        <v>381</v>
      </c>
      <c r="K4" s="4" t="s">
        <v>228</v>
      </c>
      <c r="L4" s="205" t="s">
        <v>229</v>
      </c>
      <c r="M4" s="4" t="s">
        <v>6</v>
      </c>
      <c r="N4" s="468" t="s">
        <v>73</v>
      </c>
      <c r="O4" s="469"/>
      <c r="P4" s="5" t="s">
        <v>6</v>
      </c>
      <c r="Q4" s="1" t="s">
        <v>382</v>
      </c>
      <c r="R4" s="1" t="s">
        <v>383</v>
      </c>
    </row>
    <row r="5" spans="1:18" ht="12.75">
      <c r="A5" s="5" t="s">
        <v>24</v>
      </c>
      <c r="B5" s="30">
        <v>500000</v>
      </c>
      <c r="C5" s="30">
        <v>500000</v>
      </c>
      <c r="D5" s="31">
        <v>1</v>
      </c>
      <c r="E5" s="31">
        <v>0.4</v>
      </c>
      <c r="F5" s="31">
        <v>0.1</v>
      </c>
      <c r="G5" s="30">
        <v>8000</v>
      </c>
      <c r="H5" s="206">
        <f>IF(B5&lt;C5,B5/100*D5+G5,B5/100*(D5+E5)+G5)</f>
        <v>15000</v>
      </c>
      <c r="I5" s="6">
        <f>H5/B5*100</f>
        <v>3</v>
      </c>
      <c r="J5" s="6">
        <f>IF(B5&lt;C5,(B5-C5)*F5/100*$J$3,B5*F5/100)</f>
        <v>500</v>
      </c>
      <c r="K5" s="387">
        <f>IF(J9&gt;0,H5+$J$9,H5)</f>
        <v>15700</v>
      </c>
      <c r="L5" s="207">
        <f>IF(B5&lt;C5,B5/100*D5+G5,B5/100*(D5+E5+F5)+G5)</f>
        <v>15500</v>
      </c>
      <c r="M5" s="7">
        <f>K5/B5*100</f>
        <v>3.1399999999999997</v>
      </c>
      <c r="N5" s="34">
        <v>6.25</v>
      </c>
      <c r="O5" s="6">
        <f>IF($F$20&lt;=0,K5,K5+$F$20/100*N5)</f>
        <v>15700</v>
      </c>
      <c r="P5" s="6">
        <f>O5/B5*100</f>
        <v>3.1399999999999997</v>
      </c>
      <c r="Q5" s="390">
        <f>O5-0.02*B5</f>
        <v>5700</v>
      </c>
      <c r="R5" s="1">
        <f>Q5/$G$19*100</f>
        <v>-5.848363754185117</v>
      </c>
    </row>
    <row r="6" spans="1:18" ht="12.75">
      <c r="A6" s="8" t="s">
        <v>27</v>
      </c>
      <c r="B6" s="30">
        <v>200000</v>
      </c>
      <c r="C6" s="30">
        <v>200000</v>
      </c>
      <c r="D6" s="33">
        <v>1</v>
      </c>
      <c r="E6" s="31">
        <v>0.4</v>
      </c>
      <c r="F6" s="31">
        <v>0.1</v>
      </c>
      <c r="G6" s="32">
        <v>8000</v>
      </c>
      <c r="H6" s="206">
        <f>IF(B6&lt;C6,B6/100*D6+G6,B6/100*(D6+E6)+G6)</f>
        <v>10800</v>
      </c>
      <c r="I6" s="6">
        <f>H6/B6*100</f>
        <v>5.4</v>
      </c>
      <c r="J6" s="6">
        <f>IF(B6&lt;C6,(B6-C6)*F6/100*$J$3,B6*F6/100)</f>
        <v>200</v>
      </c>
      <c r="K6" s="387">
        <f>H6</f>
        <v>10800</v>
      </c>
      <c r="L6" s="207">
        <f>IF(B6&lt;C6,B6/100*D6+G6,B6/100*(D6+E6+F6)+G6)</f>
        <v>11000</v>
      </c>
      <c r="M6" s="7">
        <f>K6/B6*100</f>
        <v>5.4</v>
      </c>
      <c r="N6" s="34">
        <v>6.25</v>
      </c>
      <c r="O6" s="6">
        <f>IF($F$20&lt;=0,K6,K6+$F$20/100*N6)</f>
        <v>10800</v>
      </c>
      <c r="P6" s="9">
        <f>O6/B6*100</f>
        <v>5.4</v>
      </c>
      <c r="Q6" s="390">
        <f>O6-0.02*B6</f>
        <v>6800</v>
      </c>
      <c r="R6" s="1">
        <f>Q6/$G$19*100</f>
        <v>-6.976995355869965</v>
      </c>
    </row>
    <row r="7" spans="1:18" ht="12.75">
      <c r="A7" s="5" t="s">
        <v>26</v>
      </c>
      <c r="B7" s="30">
        <v>0</v>
      </c>
      <c r="C7" s="30">
        <v>0</v>
      </c>
      <c r="D7" s="31">
        <v>1</v>
      </c>
      <c r="E7" s="31">
        <v>0.4</v>
      </c>
      <c r="F7" s="31">
        <v>0.1</v>
      </c>
      <c r="G7" s="30">
        <v>8000</v>
      </c>
      <c r="H7" s="206">
        <f>IF(B7&lt;C7,B7/100*D7+G7,B7/100*(D7+E7)+G7)</f>
        <v>8000</v>
      </c>
      <c r="I7" s="6" t="e">
        <f>H7/B7*100</f>
        <v>#DIV/0!</v>
      </c>
      <c r="J7" s="6">
        <f>IF(B7&lt;C7,(B7-C7)*F7/100*$J$3,B7*F7/100)</f>
        <v>0</v>
      </c>
      <c r="K7" s="387">
        <f>H7</f>
        <v>8000</v>
      </c>
      <c r="L7" s="207">
        <f>IF(B7&lt;C7,B7/100*D7+G7,B7/100*(D7+E7+F7)+G7)</f>
        <v>8000</v>
      </c>
      <c r="M7" s="7" t="e">
        <f>K7/B7*100</f>
        <v>#DIV/0!</v>
      </c>
      <c r="N7" s="34">
        <v>6.25</v>
      </c>
      <c r="O7" s="6">
        <f>IF($F$20&lt;=0,K7,K7+$F$20/100*N7)</f>
        <v>8000</v>
      </c>
      <c r="P7" s="6" t="e">
        <f>O7/B7*100</f>
        <v>#DIV/0!</v>
      </c>
      <c r="Q7" s="390">
        <f>O7-0.02*B7</f>
        <v>8000</v>
      </c>
      <c r="R7" s="1">
        <f>Q7/$G$19*100</f>
        <v>-8.208229830435252</v>
      </c>
    </row>
    <row r="8" spans="1:18" ht="12.75">
      <c r="A8" s="5" t="s">
        <v>25</v>
      </c>
      <c r="B8" s="30">
        <v>0</v>
      </c>
      <c r="C8" s="30">
        <v>0</v>
      </c>
      <c r="D8" s="31">
        <v>1</v>
      </c>
      <c r="E8" s="31">
        <v>0.4</v>
      </c>
      <c r="F8" s="31">
        <v>0.1</v>
      </c>
      <c r="G8" s="30">
        <v>8000</v>
      </c>
      <c r="H8" s="206">
        <f>IF(B8&lt;C8,B8/100*D8+G8,B8/100*(D8+E8)+G8)</f>
        <v>8000</v>
      </c>
      <c r="I8" s="6" t="e">
        <f>H8/B8*100</f>
        <v>#DIV/0!</v>
      </c>
      <c r="J8" s="6">
        <f>IF(B8&lt;C8,(B8-C8)*F8/100*$J$3,B8*F8/100)</f>
        <v>0</v>
      </c>
      <c r="K8" s="387">
        <f>H8</f>
        <v>8000</v>
      </c>
      <c r="L8" s="207">
        <f>IF(B8&lt;C8,B8/100*D8+G8,B8/100*(D8+E8+F8)+G8)</f>
        <v>8000</v>
      </c>
      <c r="M8" s="7" t="e">
        <f>K8/B8*100</f>
        <v>#DIV/0!</v>
      </c>
      <c r="N8" s="34">
        <v>6.25</v>
      </c>
      <c r="O8" s="6">
        <f>IF($F$20&lt;=0,K8,K8+$F$20/100*N8)</f>
        <v>8000</v>
      </c>
      <c r="P8" s="6" t="e">
        <f>O8/B8*100</f>
        <v>#DIV/0!</v>
      </c>
      <c r="Q8" s="390">
        <f>O8-0.02*B8</f>
        <v>8000</v>
      </c>
      <c r="R8" s="1">
        <f>Q8/$G$19*100</f>
        <v>-8.208229830435252</v>
      </c>
    </row>
    <row r="9" spans="1:18" ht="12.75">
      <c r="A9" s="17" t="s">
        <v>2</v>
      </c>
      <c r="B9" s="18">
        <f>SUM(B5:B8)</f>
        <v>700000</v>
      </c>
      <c r="C9" s="18">
        <f>SUM(C5:C8)</f>
        <v>700000</v>
      </c>
      <c r="D9" s="18"/>
      <c r="E9" s="18"/>
      <c r="F9" s="18"/>
      <c r="G9" s="18">
        <f>SUM(G5:G8)</f>
        <v>32000</v>
      </c>
      <c r="H9" s="208">
        <f>SUM(H5:H8)</f>
        <v>41800</v>
      </c>
      <c r="I9" s="385">
        <f>H9/B9*100</f>
        <v>5.9714285714285715</v>
      </c>
      <c r="J9" s="19">
        <f>SUM(J5:J8)</f>
        <v>700</v>
      </c>
      <c r="K9" s="208">
        <f>SUM(K5:K8)</f>
        <v>42500</v>
      </c>
      <c r="L9" s="208">
        <f>SUM(L5:L8)</f>
        <v>42500</v>
      </c>
      <c r="M9" s="386">
        <f>K9/B9*100</f>
        <v>6.071428571428571</v>
      </c>
      <c r="N9" s="19">
        <f>SUM(N5:N8)</f>
        <v>25</v>
      </c>
      <c r="O9" s="19">
        <f>SUM(O5:O8)</f>
        <v>42500</v>
      </c>
      <c r="P9" s="19">
        <f>O9/B9*100</f>
        <v>6.071428571428571</v>
      </c>
      <c r="Q9" s="390">
        <f>O9-0.02*B9</f>
        <v>28500</v>
      </c>
      <c r="R9" s="1">
        <f>Q9/$G$19*100</f>
        <v>-29.241818770925587</v>
      </c>
    </row>
    <row r="10" spans="6:10" ht="12.75">
      <c r="F10" s="2"/>
      <c r="I10" s="1" t="s">
        <v>386</v>
      </c>
      <c r="J10" s="1">
        <f>B9*F8/100</f>
        <v>700</v>
      </c>
    </row>
    <row r="12" spans="2:13" ht="12.75">
      <c r="B12" s="470" t="s">
        <v>34</v>
      </c>
      <c r="C12" s="471"/>
      <c r="D12" s="472"/>
      <c r="J12" s="1" t="s">
        <v>230</v>
      </c>
      <c r="M12" s="209">
        <v>-0.1</v>
      </c>
    </row>
    <row r="13" spans="2:13" ht="12.75">
      <c r="B13" s="27" t="s">
        <v>31</v>
      </c>
      <c r="C13" s="28" t="s">
        <v>32</v>
      </c>
      <c r="D13" s="29" t="s">
        <v>33</v>
      </c>
      <c r="F13" s="1" t="s">
        <v>225</v>
      </c>
      <c r="G13" s="20">
        <v>0</v>
      </c>
      <c r="J13" s="1" t="s">
        <v>231</v>
      </c>
      <c r="M13" s="209">
        <v>-0.15</v>
      </c>
    </row>
    <row r="14" spans="2:13" ht="12.75">
      <c r="B14" s="5" t="s">
        <v>9</v>
      </c>
      <c r="C14" s="204">
        <f>D14*$B$3</f>
        <v>40000</v>
      </c>
      <c r="D14" s="30">
        <f>СВОДНАЯ!C4</f>
        <v>10000</v>
      </c>
      <c r="F14" s="21" t="s">
        <v>8</v>
      </c>
      <c r="G14" s="22">
        <f>K9+D28*B3</f>
        <v>122700</v>
      </c>
      <c r="J14" s="1" t="s">
        <v>232</v>
      </c>
      <c r="M14" s="209">
        <v>-0.2</v>
      </c>
    </row>
    <row r="15" spans="2:7" ht="12.75">
      <c r="B15" s="8" t="s">
        <v>10</v>
      </c>
      <c r="C15" s="204">
        <f aca="true" t="shared" si="0" ref="C15:C27">D15*$B$3</f>
        <v>1600</v>
      </c>
      <c r="D15" s="32">
        <f>СВОДНАЯ!C5</f>
        <v>400</v>
      </c>
      <c r="F15" s="21" t="s">
        <v>20</v>
      </c>
      <c r="G15" s="21">
        <f>G14/B9*100</f>
        <v>17.52857142857143</v>
      </c>
    </row>
    <row r="16" spans="2:7" ht="12.75">
      <c r="B16" s="5" t="s">
        <v>11</v>
      </c>
      <c r="C16" s="204">
        <f t="shared" si="0"/>
        <v>1000</v>
      </c>
      <c r="D16" s="30">
        <f>СВОДНАЯ!C6</f>
        <v>250</v>
      </c>
      <c r="F16" s="21"/>
      <c r="G16" s="21"/>
    </row>
    <row r="17" spans="2:7" ht="12.75">
      <c r="B17" s="10" t="s">
        <v>12</v>
      </c>
      <c r="C17" s="204">
        <f t="shared" si="0"/>
        <v>10400</v>
      </c>
      <c r="D17" s="112">
        <f>СВОДНАЯ!C7</f>
        <v>2600</v>
      </c>
      <c r="F17" s="21" t="s">
        <v>21</v>
      </c>
      <c r="G17" s="20">
        <v>3.605263157894737</v>
      </c>
    </row>
    <row r="18" spans="2:14" ht="12.75">
      <c r="B18" s="10" t="s">
        <v>13</v>
      </c>
      <c r="C18" s="204">
        <f t="shared" si="0"/>
        <v>600</v>
      </c>
      <c r="D18" s="112">
        <f>СВОДНАЯ!C8</f>
        <v>150</v>
      </c>
      <c r="F18" s="21" t="s">
        <v>22</v>
      </c>
      <c r="G18" s="21">
        <f>G17-G15</f>
        <v>-13.923308270676692</v>
      </c>
      <c r="I18" s="25" t="s">
        <v>36</v>
      </c>
      <c r="J18" s="26" t="s">
        <v>3</v>
      </c>
      <c r="K18" s="26" t="s">
        <v>30</v>
      </c>
      <c r="N18" s="1">
        <f>IF($J$9&gt;0,IF(J5&gt;0,0,B5*(F5+E5)/100-J5),IF(J5&lt;0,B5*(E5+F5)/100,J5))</f>
        <v>0</v>
      </c>
    </row>
    <row r="19" spans="2:14" ht="12.75">
      <c r="B19" s="10" t="s">
        <v>14</v>
      </c>
      <c r="C19" s="204">
        <f t="shared" si="0"/>
        <v>1600</v>
      </c>
      <c r="D19" s="112">
        <f>СВОДНАЯ!C9</f>
        <v>400</v>
      </c>
      <c r="F19" s="21" t="s">
        <v>23</v>
      </c>
      <c r="G19" s="21">
        <f>G18*B9/100+G13</f>
        <v>-97463.15789473684</v>
      </c>
      <c r="I19" s="23" t="s">
        <v>35</v>
      </c>
      <c r="J19" s="10">
        <f>N5</f>
        <v>6.25</v>
      </c>
      <c r="K19" s="391">
        <f>F20*N5/100</f>
        <v>-6091.4473684210525</v>
      </c>
      <c r="N19" s="1">
        <f>IF($J$9&gt;0,IF(J6&gt;0,0,B6*(F6+E6)/100-J6),IF(J6&lt;0,B6*(E6+F6)/100,J6))</f>
        <v>0</v>
      </c>
    </row>
    <row r="20" spans="2:14" ht="12.75">
      <c r="B20" s="10" t="s">
        <v>15</v>
      </c>
      <c r="C20" s="204">
        <f t="shared" si="0"/>
        <v>7200</v>
      </c>
      <c r="D20" s="112">
        <f>СВОДНАЯ!C10</f>
        <v>1800</v>
      </c>
      <c r="F20" s="474">
        <f>G19-N22</f>
        <v>-97463.15789473684</v>
      </c>
      <c r="G20" s="474"/>
      <c r="I20" s="12" t="s">
        <v>28</v>
      </c>
      <c r="J20" s="8">
        <f>N6</f>
        <v>6.25</v>
      </c>
      <c r="K20" s="392">
        <f>F20*N6/100</f>
        <v>-6091.4473684210525</v>
      </c>
      <c r="N20" s="1">
        <f>IF($J$9&gt;0,IF(J7&gt;0,0,B7*(F7+E7)/100-J7),IF(J7&lt;0,B7*(E7+F7)/100,J7))</f>
        <v>0</v>
      </c>
    </row>
    <row r="21" spans="2:14" ht="12.75">
      <c r="B21" s="10" t="s">
        <v>16</v>
      </c>
      <c r="C21" s="204">
        <f t="shared" si="0"/>
        <v>0</v>
      </c>
      <c r="D21" s="112">
        <v>0</v>
      </c>
      <c r="I21" s="14" t="s">
        <v>29</v>
      </c>
      <c r="J21" s="15">
        <f>100-N9</f>
        <v>75</v>
      </c>
      <c r="K21" s="393">
        <f>F20*(100-N9)/100</f>
        <v>-73097.36842105263</v>
      </c>
      <c r="N21" s="1">
        <f>IF($J$9&gt;0,IF(J8&gt;0,0,B8*(F8+E8)/100-J8),IF(J8&lt;0,B8*(E8+F8)/100,J8))</f>
        <v>0</v>
      </c>
    </row>
    <row r="22" spans="2:15" ht="12.75">
      <c r="B22" s="10" t="s">
        <v>17</v>
      </c>
      <c r="C22" s="204">
        <f t="shared" si="0"/>
        <v>0</v>
      </c>
      <c r="D22" s="112">
        <v>0</v>
      </c>
      <c r="N22" s="21">
        <f>SUM(N18:N21)</f>
        <v>0</v>
      </c>
      <c r="O22" s="1" t="s">
        <v>387</v>
      </c>
    </row>
    <row r="23" spans="2:4" ht="12.75">
      <c r="B23" s="10" t="s">
        <v>38</v>
      </c>
      <c r="C23" s="204">
        <f t="shared" si="0"/>
        <v>1200</v>
      </c>
      <c r="D23" s="112">
        <f>СВОДНАЯ!C13</f>
        <v>300</v>
      </c>
    </row>
    <row r="24" spans="2:4" ht="12.75">
      <c r="B24" s="10" t="s">
        <v>37</v>
      </c>
      <c r="C24" s="204">
        <f t="shared" si="0"/>
        <v>1200</v>
      </c>
      <c r="D24" s="112">
        <f>СВОДНАЯ!C14</f>
        <v>300</v>
      </c>
    </row>
    <row r="25" spans="2:4" ht="12.75">
      <c r="B25" s="10" t="s">
        <v>19</v>
      </c>
      <c r="C25" s="204">
        <f t="shared" si="0"/>
        <v>13200</v>
      </c>
      <c r="D25" s="112">
        <f>СВОДНАЯ!C15</f>
        <v>3300</v>
      </c>
    </row>
    <row r="26" spans="2:4" ht="12.75">
      <c r="B26" s="10" t="s">
        <v>39</v>
      </c>
      <c r="C26" s="204">
        <f t="shared" si="0"/>
        <v>2000</v>
      </c>
      <c r="D26" s="112">
        <f>СВОДНАЯ!C16</f>
        <v>500</v>
      </c>
    </row>
    <row r="27" spans="2:4" ht="12.75">
      <c r="B27" s="10" t="s">
        <v>18</v>
      </c>
      <c r="C27" s="204">
        <f t="shared" si="0"/>
        <v>200</v>
      </c>
      <c r="D27" s="112">
        <v>50</v>
      </c>
    </row>
    <row r="28" spans="2:4" ht="12.75">
      <c r="B28" s="10" t="s">
        <v>46</v>
      </c>
      <c r="C28" s="17">
        <f>SUM(C14:C27)</f>
        <v>80200</v>
      </c>
      <c r="D28" s="19">
        <f>SUM(D14:D27)</f>
        <v>20050</v>
      </c>
    </row>
  </sheetData>
  <mergeCells count="4">
    <mergeCell ref="N4:O4"/>
    <mergeCell ref="B12:D12"/>
    <mergeCell ref="A1:B1"/>
    <mergeCell ref="F20:G20"/>
  </mergeCells>
  <printOptions/>
  <pageMargins left="0.62" right="0.4" top="0.73" bottom="1" header="0.5" footer="0.5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8"/>
  <sheetViews>
    <sheetView workbookViewId="0" topLeftCell="A1">
      <selection activeCell="G11" sqref="G11"/>
    </sheetView>
  </sheetViews>
  <sheetFormatPr defaultColWidth="9.00390625" defaultRowHeight="12.75"/>
  <cols>
    <col min="3" max="3" width="11.625" style="0" customWidth="1"/>
    <col min="4" max="4" width="12.00390625" style="0" customWidth="1"/>
    <col min="6" max="6" width="10.75390625" style="0" bestFit="1" customWidth="1"/>
    <col min="7" max="7" width="10.875" style="0" customWidth="1"/>
    <col min="8" max="8" width="10.75390625" style="0" bestFit="1" customWidth="1"/>
    <col min="10" max="11" width="11.00390625" style="0" customWidth="1"/>
    <col min="12" max="12" width="10.875" style="0" customWidth="1"/>
    <col min="13" max="13" width="11.625" style="0" customWidth="1"/>
  </cols>
  <sheetData>
    <row r="1" spans="1:17" ht="13.5" thickBot="1">
      <c r="A1" s="476" t="s">
        <v>307</v>
      </c>
      <c r="B1" s="476"/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6"/>
      <c r="N1" s="476"/>
      <c r="O1" s="476"/>
      <c r="P1" s="476"/>
      <c r="Q1" s="476"/>
    </row>
    <row r="2" spans="2:16" ht="12.75" customHeight="1">
      <c r="B2" s="67" t="s">
        <v>296</v>
      </c>
      <c r="C2" s="340">
        <f>F8</f>
        <v>1820</v>
      </c>
      <c r="D2" s="67" t="s">
        <v>388</v>
      </c>
      <c r="E2" s="394">
        <v>4</v>
      </c>
      <c r="F2" s="477" t="s">
        <v>301</v>
      </c>
      <c r="G2" s="478"/>
      <c r="H2" s="478"/>
      <c r="I2" s="478"/>
      <c r="J2" s="479"/>
      <c r="K2" s="480" t="s">
        <v>389</v>
      </c>
      <c r="L2" s="482" t="s">
        <v>3</v>
      </c>
      <c r="M2" s="482" t="s">
        <v>302</v>
      </c>
      <c r="N2" s="482" t="s">
        <v>304</v>
      </c>
      <c r="O2" s="482" t="s">
        <v>303</v>
      </c>
      <c r="P2" s="482" t="s">
        <v>3</v>
      </c>
    </row>
    <row r="3" spans="2:16" ht="13.5" thickBot="1">
      <c r="B3" s="67" t="s">
        <v>87</v>
      </c>
      <c r="C3" s="340">
        <f>G8</f>
        <v>1820</v>
      </c>
      <c r="F3" s="333" t="s">
        <v>296</v>
      </c>
      <c r="G3" s="331" t="s">
        <v>87</v>
      </c>
      <c r="H3" s="331" t="s">
        <v>86</v>
      </c>
      <c r="I3" s="331" t="s">
        <v>391</v>
      </c>
      <c r="J3" s="334" t="s">
        <v>298</v>
      </c>
      <c r="K3" s="481"/>
      <c r="L3" s="483"/>
      <c r="M3" s="484"/>
      <c r="N3" s="484"/>
      <c r="O3" s="484"/>
      <c r="P3" s="484"/>
    </row>
    <row r="4" spans="2:18" ht="12.75">
      <c r="B4" s="67" t="s">
        <v>295</v>
      </c>
      <c r="C4" s="127">
        <v>4</v>
      </c>
      <c r="F4" s="335">
        <v>1120</v>
      </c>
      <c r="G4" s="335">
        <v>1100</v>
      </c>
      <c r="H4" s="332">
        <f>IF(G4&gt;=F4,$C$6+($C$7+$C$9)*G4/100,$C$6+$C$7*G4/100)</f>
        <v>19</v>
      </c>
      <c r="I4" s="332">
        <f>IF(G4&gt;=F4,$C$10*G4/100,$C$10*(G4-F4)*$E$2/100)</f>
        <v>-0.08</v>
      </c>
      <c r="J4" s="336">
        <f>IF(I8&lt;0,H4,H4+I8)</f>
        <v>19.64</v>
      </c>
      <c r="K4" s="395">
        <f>IF($I$8&gt;0,IF(I4&gt;0,0,G4*$C$8/100-I4),IF(I4&lt;0,G4*$C$8/100,I4))</f>
        <v>5.58</v>
      </c>
      <c r="L4" s="397">
        <f>J4/G4*100</f>
        <v>1.7854545454545456</v>
      </c>
      <c r="M4" s="348">
        <v>10</v>
      </c>
      <c r="N4" s="376">
        <f>IF($G$12&lt;0,0,$G$12/100*M4)</f>
        <v>0</v>
      </c>
      <c r="O4" s="345">
        <f>N4+J4</f>
        <v>19.64</v>
      </c>
      <c r="P4" s="341">
        <f>O4/G4*100</f>
        <v>1.7854545454545456</v>
      </c>
      <c r="Q4" s="148">
        <f>$G$53</f>
        <v>0</v>
      </c>
      <c r="R4">
        <f>(O4+Q4)/G4*100</f>
        <v>1.7854545454545456</v>
      </c>
    </row>
    <row r="5" spans="1:18" ht="12.75">
      <c r="A5" t="s">
        <v>290</v>
      </c>
      <c r="C5" s="329">
        <v>20</v>
      </c>
      <c r="F5" s="335">
        <v>500</v>
      </c>
      <c r="G5" s="335">
        <v>520</v>
      </c>
      <c r="H5" s="332">
        <f>IF(G5&gt;=F5,$C$6+($C$7+$C$9)*G5/100,$C$6+$C$7*G5/100)</f>
        <v>15.280000000000001</v>
      </c>
      <c r="I5" s="332">
        <f>IF(G5&gt;=F5,$C$10*G5/100,$C$10*(G5-F5)*$E$2/100)</f>
        <v>0.52</v>
      </c>
      <c r="J5" s="336">
        <f>H5</f>
        <v>15.280000000000001</v>
      </c>
      <c r="K5" s="395">
        <f>IF($I$8&gt;0,IF(I5&gt;0,0,G5*$C$8/100-I5),IF(I5&lt;0,G5*$C$8/100,I5))</f>
        <v>0</v>
      </c>
      <c r="L5" s="398">
        <f>J5/G5*100</f>
        <v>2.9384615384615387</v>
      </c>
      <c r="M5" s="349">
        <v>5</v>
      </c>
      <c r="N5" s="332">
        <f>IF($G$12&lt;0,0,$G$12/100*M5)</f>
        <v>0</v>
      </c>
      <c r="O5" s="346">
        <f>N5+J5</f>
        <v>15.280000000000001</v>
      </c>
      <c r="P5" s="342">
        <f>O5/G5*100</f>
        <v>2.9384615384615387</v>
      </c>
      <c r="Q5" s="148">
        <f>$G$53</f>
        <v>0</v>
      </c>
      <c r="R5">
        <f>(O5+Q5)/G5*100</f>
        <v>2.9384615384615387</v>
      </c>
    </row>
    <row r="6" spans="2:18" ht="12.75">
      <c r="B6" s="67" t="s">
        <v>293</v>
      </c>
      <c r="C6" s="329">
        <v>8</v>
      </c>
      <c r="F6" s="335">
        <v>200</v>
      </c>
      <c r="G6" s="335">
        <v>200</v>
      </c>
      <c r="H6" s="332">
        <f>IF(G6&gt;=F6,$C$6+($C$7+$C$9)*G6/100,$C$6+$C$7*G6/100)</f>
        <v>10.8</v>
      </c>
      <c r="I6" s="332">
        <f>IF(G6&gt;=F6,$C$10*G6/100,$C$10*(G6-F6)*$E$2/100)</f>
        <v>0.2</v>
      </c>
      <c r="J6" s="336">
        <f>H6</f>
        <v>10.8</v>
      </c>
      <c r="K6" s="395">
        <f>IF($I$8&gt;0,IF(I6&gt;0,0,G6*$C$8/100-I6),IF(I6&lt;0,G6*$C$8/100,I6))</f>
        <v>0</v>
      </c>
      <c r="L6" s="398">
        <f>J6/G6*100</f>
        <v>5.4</v>
      </c>
      <c r="M6" s="349">
        <v>5</v>
      </c>
      <c r="N6" s="332">
        <f>IF($G$12&lt;0,0,$G$12/100*M6)</f>
        <v>0</v>
      </c>
      <c r="O6" s="346">
        <f>N6+J6</f>
        <v>10.8</v>
      </c>
      <c r="P6" s="342">
        <f>O6/G6*100</f>
        <v>5.4</v>
      </c>
      <c r="Q6" s="148">
        <f>$G$53</f>
        <v>0</v>
      </c>
      <c r="R6">
        <f>(O6+Q6)/G6*100</f>
        <v>5.4</v>
      </c>
    </row>
    <row r="7" spans="2:18" ht="12.75">
      <c r="B7" s="67" t="s">
        <v>291</v>
      </c>
      <c r="C7" s="127">
        <v>1</v>
      </c>
      <c r="D7" t="s">
        <v>3</v>
      </c>
      <c r="F7" s="335">
        <v>0</v>
      </c>
      <c r="G7" s="335">
        <v>0</v>
      </c>
      <c r="H7" s="332">
        <f>IF(G7&gt;=F7,$C$6+($C$7+$C$9)*G7/100,$C$6+$C$7*G7/100)</f>
        <v>8</v>
      </c>
      <c r="I7" s="332">
        <f>IF(G7&gt;=F7,$C$10*G7/100,$C$10*(G7-F7)*$E$2/100)</f>
        <v>0</v>
      </c>
      <c r="J7" s="336">
        <f>H7</f>
        <v>8</v>
      </c>
      <c r="K7" s="395">
        <f>IF($I$8&gt;0,IF(I7&gt;0,0,G7*$C$8/100-I7),IF(I7&lt;0,G7*$C$8/100,I7))</f>
        <v>0</v>
      </c>
      <c r="L7" s="398" t="e">
        <f>J7/G7*100</f>
        <v>#DIV/0!</v>
      </c>
      <c r="M7" s="349">
        <v>5</v>
      </c>
      <c r="N7" s="332">
        <f>IF($G$12&lt;0,0,$G$12/100*M7)</f>
        <v>0</v>
      </c>
      <c r="O7" s="346">
        <f>N7+J7</f>
        <v>8</v>
      </c>
      <c r="P7" s="342" t="e">
        <f>O7/G7*100</f>
        <v>#DIV/0!</v>
      </c>
      <c r="Q7" s="148">
        <f>$G$53</f>
        <v>0</v>
      </c>
      <c r="R7" t="e">
        <f>(O7+Q7)/G7*100</f>
        <v>#DIV/0!</v>
      </c>
    </row>
    <row r="8" spans="2:17" ht="13.5" thickBot="1">
      <c r="B8" s="67" t="s">
        <v>292</v>
      </c>
      <c r="C8" s="330">
        <f>C9+C10</f>
        <v>0.5</v>
      </c>
      <c r="D8" t="s">
        <v>3</v>
      </c>
      <c r="F8" s="337">
        <f aca="true" t="shared" si="0" ref="F8:K8">SUM(F4:F7)</f>
        <v>1820</v>
      </c>
      <c r="G8" s="338">
        <f t="shared" si="0"/>
        <v>1820</v>
      </c>
      <c r="H8" s="338">
        <f t="shared" si="0"/>
        <v>53.08</v>
      </c>
      <c r="I8" s="338">
        <f t="shared" si="0"/>
        <v>0.64</v>
      </c>
      <c r="J8" s="339">
        <f t="shared" si="0"/>
        <v>53.72</v>
      </c>
      <c r="K8" s="396">
        <f t="shared" si="0"/>
        <v>5.58</v>
      </c>
      <c r="L8" s="399">
        <f>J8/G8*100</f>
        <v>2.9516483516483514</v>
      </c>
      <c r="M8" s="343">
        <f>SUM(M4:M7)</f>
        <v>25</v>
      </c>
      <c r="N8" s="338">
        <f>SUM(N4:N7)</f>
        <v>0</v>
      </c>
      <c r="O8" s="347">
        <f>SUM(O4:O7)</f>
        <v>53.72</v>
      </c>
      <c r="P8" s="344">
        <f>O8/G8*100</f>
        <v>2.9516483516483514</v>
      </c>
      <c r="Q8" s="137">
        <f>(Q4*C4+O8)/G8*100</f>
        <v>2.9516483516483514</v>
      </c>
    </row>
    <row r="9" spans="2:13" ht="12.75">
      <c r="B9" s="92" t="s">
        <v>294</v>
      </c>
      <c r="C9" s="127">
        <v>0.4</v>
      </c>
      <c r="D9" t="s">
        <v>3</v>
      </c>
      <c r="M9" t="s">
        <v>306</v>
      </c>
    </row>
    <row r="10" spans="2:7" ht="12.75">
      <c r="B10" s="92" t="s">
        <v>398</v>
      </c>
      <c r="C10" s="127">
        <v>0.1</v>
      </c>
      <c r="D10" t="s">
        <v>3</v>
      </c>
      <c r="F10" s="67" t="s">
        <v>299</v>
      </c>
      <c r="G10" s="350">
        <f>J8+C4*C5-C6*(4-C4)</f>
        <v>133.72</v>
      </c>
    </row>
    <row r="11" spans="2:7" ht="12.75">
      <c r="B11" s="92" t="s">
        <v>300</v>
      </c>
      <c r="C11" s="196">
        <f>(C5+C6)*C4/C2*100</f>
        <v>6.153846153846154</v>
      </c>
      <c r="D11" t="s">
        <v>3</v>
      </c>
      <c r="F11" t="s">
        <v>285</v>
      </c>
      <c r="G11" s="350">
        <f>G8*$A$12/100-K8+A13</f>
        <v>133.72</v>
      </c>
    </row>
    <row r="12" spans="1:7" ht="12.75">
      <c r="A12">
        <v>3.6052631578947367</v>
      </c>
      <c r="B12" s="92" t="s">
        <v>2</v>
      </c>
      <c r="C12" s="25">
        <f>C11+C8+C7</f>
        <v>7.653846153846154</v>
      </c>
      <c r="D12" t="s">
        <v>297</v>
      </c>
      <c r="F12" t="s">
        <v>46</v>
      </c>
      <c r="G12" s="350">
        <f>G11-G10</f>
        <v>0</v>
      </c>
    </row>
    <row r="13" spans="1:8" ht="12.75">
      <c r="A13" s="148">
        <f>C13*C2/100</f>
        <v>73.6842105263158</v>
      </c>
      <c r="B13" s="92" t="s">
        <v>225</v>
      </c>
      <c r="C13" s="135">
        <f>C12-$A$12</f>
        <v>4.048582995951417</v>
      </c>
      <c r="D13" t="s">
        <v>3</v>
      </c>
      <c r="F13" t="s">
        <v>390</v>
      </c>
      <c r="G13" s="350">
        <f>G12-N8</f>
        <v>0</v>
      </c>
      <c r="H13" t="s">
        <v>305</v>
      </c>
    </row>
    <row r="14" spans="1:17" ht="13.5" thickBot="1">
      <c r="A14" s="476" t="s">
        <v>308</v>
      </c>
      <c r="B14" s="476"/>
      <c r="C14" s="476"/>
      <c r="D14" s="476"/>
      <c r="E14" s="476"/>
      <c r="F14" s="476"/>
      <c r="G14" s="476"/>
      <c r="H14" s="476"/>
      <c r="I14" s="476"/>
      <c r="J14" s="476"/>
      <c r="K14" s="476"/>
      <c r="L14" s="476"/>
      <c r="M14" s="476"/>
      <c r="N14" s="476"/>
      <c r="O14" s="476"/>
      <c r="P14" s="476"/>
      <c r="Q14" s="476"/>
    </row>
    <row r="15" spans="2:16" ht="12.75" customHeight="1">
      <c r="B15" s="67" t="s">
        <v>296</v>
      </c>
      <c r="C15" s="340">
        <f>F21</f>
        <v>700</v>
      </c>
      <c r="D15" s="138"/>
      <c r="E15" s="388"/>
      <c r="F15" s="477" t="s">
        <v>301</v>
      </c>
      <c r="G15" s="478"/>
      <c r="H15" s="478"/>
      <c r="I15" s="478"/>
      <c r="J15" s="479"/>
      <c r="K15" s="480" t="s">
        <v>389</v>
      </c>
      <c r="L15" s="482" t="s">
        <v>3</v>
      </c>
      <c r="M15" s="482" t="s">
        <v>302</v>
      </c>
      <c r="N15" s="482" t="s">
        <v>304</v>
      </c>
      <c r="O15" s="482" t="s">
        <v>303</v>
      </c>
      <c r="P15" s="482" t="s">
        <v>3</v>
      </c>
    </row>
    <row r="16" spans="2:16" ht="13.5" thickBot="1">
      <c r="B16" s="67" t="s">
        <v>87</v>
      </c>
      <c r="C16" s="340">
        <f>G21</f>
        <v>700</v>
      </c>
      <c r="D16" s="76"/>
      <c r="E16" s="76"/>
      <c r="F16" s="333" t="s">
        <v>296</v>
      </c>
      <c r="G16" s="331" t="s">
        <v>87</v>
      </c>
      <c r="H16" s="331" t="s">
        <v>86</v>
      </c>
      <c r="I16" s="331" t="s">
        <v>391</v>
      </c>
      <c r="J16" s="334" t="s">
        <v>298</v>
      </c>
      <c r="K16" s="481"/>
      <c r="L16" s="483"/>
      <c r="M16" s="484"/>
      <c r="N16" s="484"/>
      <c r="O16" s="484"/>
      <c r="P16" s="484"/>
    </row>
    <row r="17" spans="2:18" ht="13.5" thickBot="1">
      <c r="B17" s="67" t="s">
        <v>295</v>
      </c>
      <c r="C17" s="127">
        <v>4</v>
      </c>
      <c r="F17" s="335">
        <v>500</v>
      </c>
      <c r="G17" s="335">
        <v>500</v>
      </c>
      <c r="H17" s="332">
        <f>IF(G17&gt;=F17,$C$6+($C$7+$C$9)*G17/100,$C$6+$C$7*G17/100)</f>
        <v>15</v>
      </c>
      <c r="I17" s="332">
        <f>IF(G17&gt;=F17,$C$10*G17/100,$C$10*(G17-F17)*$E$2/100)</f>
        <v>0.5</v>
      </c>
      <c r="J17" s="336">
        <f>IF(I21&lt;0,H17,H17+I21)</f>
        <v>15.7</v>
      </c>
      <c r="K17" s="395">
        <f>IF($I$21&gt;0,IF(I17&gt;0,0,G17*$C$8/100-I17),IF(I17&lt;0,G17*$C$8/100,I17))</f>
        <v>0</v>
      </c>
      <c r="L17" s="397">
        <f>J17/G17*100</f>
        <v>3.1399999999999997</v>
      </c>
      <c r="M17" s="400">
        <f>M4</f>
        <v>10</v>
      </c>
      <c r="N17" s="376">
        <f>IF($G$25&lt;0,0,$G$25/100*M17)</f>
        <v>0</v>
      </c>
      <c r="O17" s="345">
        <f>N17+J17</f>
        <v>15.7</v>
      </c>
      <c r="P17" s="341">
        <f>O17/G17*100</f>
        <v>3.1399999999999997</v>
      </c>
      <c r="Q17" s="148">
        <f>$G$53</f>
        <v>0</v>
      </c>
      <c r="R17">
        <f>(O17+Q17)/G17*100</f>
        <v>3.1399999999999997</v>
      </c>
    </row>
    <row r="18" spans="1:18" ht="13.5" thickBot="1">
      <c r="A18" t="s">
        <v>290</v>
      </c>
      <c r="C18" s="357">
        <f>C5</f>
        <v>20</v>
      </c>
      <c r="F18" s="335">
        <v>200</v>
      </c>
      <c r="G18" s="335">
        <v>200</v>
      </c>
      <c r="H18" s="332">
        <f>IF(G18&gt;=F18,$C$6+($C$7+$C$9)*G18/100,$C$6+$C$7*G18/100)</f>
        <v>10.8</v>
      </c>
      <c r="I18" s="332">
        <f>IF(G18&gt;=F18,$C$10*G18/100,$C$10*(G18-F18)*$E$2/100)</f>
        <v>0.2</v>
      </c>
      <c r="J18" s="336">
        <f>H18</f>
        <v>10.8</v>
      </c>
      <c r="K18" s="395">
        <f>IF($I$21&gt;0,IF(I18&gt;0,0,G18*$C$8/100-I18),IF(I18&lt;0,G18*$C$8/100,I18))</f>
        <v>0</v>
      </c>
      <c r="L18" s="398">
        <f>J18/G18*100</f>
        <v>5.4</v>
      </c>
      <c r="M18" s="401">
        <f>M5</f>
        <v>5</v>
      </c>
      <c r="N18" s="376">
        <f>IF($G$25&lt;0,0,$G$25/100*M18)</f>
        <v>0</v>
      </c>
      <c r="O18" s="346">
        <f>N18+J18</f>
        <v>10.8</v>
      </c>
      <c r="P18" s="342">
        <f>O18/G18*100</f>
        <v>5.4</v>
      </c>
      <c r="Q18" s="148">
        <f>$G$53</f>
        <v>0</v>
      </c>
      <c r="R18">
        <f>(O18+Q18)/G18*100</f>
        <v>5.4</v>
      </c>
    </row>
    <row r="19" spans="2:18" ht="13.5" thickBot="1">
      <c r="B19" s="67" t="s">
        <v>293</v>
      </c>
      <c r="C19" s="357">
        <f>C6</f>
        <v>8</v>
      </c>
      <c r="F19" s="335">
        <v>0</v>
      </c>
      <c r="G19" s="335">
        <v>0</v>
      </c>
      <c r="H19" s="332">
        <f>IF(G19&gt;=F19,$C$6+($C$7+$C$9)*G19/100,$C$6+$C$7*G19/100)</f>
        <v>8</v>
      </c>
      <c r="I19" s="332">
        <f>IF(G19&gt;=F19,$C$10*G19/100,$C$10*(G19-F19)*$E$2/100)</f>
        <v>0</v>
      </c>
      <c r="J19" s="336">
        <f>H19</f>
        <v>8</v>
      </c>
      <c r="K19" s="395">
        <f>IF($I$21&gt;0,IF(I19&gt;0,0,G19*$C$8/100-I19),IF(I19&lt;0,G19*$C$8/100,I19))</f>
        <v>0</v>
      </c>
      <c r="L19" s="398" t="e">
        <f>J19/G19*100</f>
        <v>#DIV/0!</v>
      </c>
      <c r="M19" s="401">
        <f>M6</f>
        <v>5</v>
      </c>
      <c r="N19" s="376">
        <f>IF($G$25&lt;0,0,$G$25/100*M19)</f>
        <v>0</v>
      </c>
      <c r="O19" s="346">
        <f>N19+J19</f>
        <v>8</v>
      </c>
      <c r="P19" s="342" t="e">
        <f>O19/G19*100</f>
        <v>#DIV/0!</v>
      </c>
      <c r="Q19" s="148">
        <f>$G$53</f>
        <v>0</v>
      </c>
      <c r="R19" t="e">
        <f>(O19+Q19)/G19*100</f>
        <v>#DIV/0!</v>
      </c>
    </row>
    <row r="20" spans="2:18" ht="12.75">
      <c r="B20" s="67" t="s">
        <v>291</v>
      </c>
      <c r="C20" s="330">
        <f>C7</f>
        <v>1</v>
      </c>
      <c r="D20" t="s">
        <v>3</v>
      </c>
      <c r="F20" s="335">
        <v>0</v>
      </c>
      <c r="G20" s="335">
        <v>0</v>
      </c>
      <c r="H20" s="332">
        <f>IF(G20&gt;=F20,$C$6+($C$7+$C$9)*G20/100,$C$6+$C$7*G20/100)</f>
        <v>8</v>
      </c>
      <c r="I20" s="332">
        <f>IF(G20&gt;=F20,$C$10*G20/100,$C$10*(G20-F20)*$E$2/100)</f>
        <v>0</v>
      </c>
      <c r="J20" s="336">
        <f>H20</f>
        <v>8</v>
      </c>
      <c r="K20" s="395">
        <f>IF($I$21&gt;0,IF(I20&gt;0,0,G20*$C$8/100-I20),IF(I20&lt;0,G20*$C$8/100,I20))</f>
        <v>0</v>
      </c>
      <c r="L20" s="398" t="e">
        <f>J20/G20*100</f>
        <v>#DIV/0!</v>
      </c>
      <c r="M20" s="401">
        <f>M7</f>
        <v>5</v>
      </c>
      <c r="N20" s="376">
        <f>IF($G$25&lt;0,0,$G$25/100*M20)</f>
        <v>0</v>
      </c>
      <c r="O20" s="346">
        <f>N20+J20</f>
        <v>8</v>
      </c>
      <c r="P20" s="342" t="e">
        <f>O20/G20*100</f>
        <v>#DIV/0!</v>
      </c>
      <c r="Q20" s="148">
        <f>$G$53</f>
        <v>0</v>
      </c>
      <c r="R20" t="e">
        <f>(O20+Q20)/G20*100</f>
        <v>#DIV/0!</v>
      </c>
    </row>
    <row r="21" spans="2:17" ht="13.5" thickBot="1">
      <c r="B21" s="67" t="s">
        <v>292</v>
      </c>
      <c r="C21" s="330">
        <f>C22+C23</f>
        <v>0.5</v>
      </c>
      <c r="D21" t="s">
        <v>3</v>
      </c>
      <c r="F21" s="337">
        <f aca="true" t="shared" si="1" ref="F21:K21">SUM(F17:F20)</f>
        <v>700</v>
      </c>
      <c r="G21" s="338">
        <f t="shared" si="1"/>
        <v>700</v>
      </c>
      <c r="H21" s="338">
        <f t="shared" si="1"/>
        <v>41.8</v>
      </c>
      <c r="I21" s="338">
        <f t="shared" si="1"/>
        <v>0.7</v>
      </c>
      <c r="J21" s="339">
        <f t="shared" si="1"/>
        <v>42.5</v>
      </c>
      <c r="K21" s="396">
        <f t="shared" si="1"/>
        <v>0</v>
      </c>
      <c r="L21" s="399">
        <f>J21/G21*100</f>
        <v>6.071428571428571</v>
      </c>
      <c r="M21" s="343">
        <f>SUM(M17:M20)</f>
        <v>25</v>
      </c>
      <c r="N21" s="338">
        <f>SUM(N17:N20)</f>
        <v>0</v>
      </c>
      <c r="O21" s="347">
        <f>SUM(O17:O20)</f>
        <v>42.5</v>
      </c>
      <c r="P21" s="344">
        <f>O21/G21*100</f>
        <v>6.071428571428571</v>
      </c>
      <c r="Q21" s="137">
        <f>(Q17*C17+O21)/G21*100</f>
        <v>6.071428571428571</v>
      </c>
    </row>
    <row r="22" spans="2:13" ht="12.75">
      <c r="B22" s="92" t="s">
        <v>294</v>
      </c>
      <c r="C22" s="330">
        <f>C9</f>
        <v>0.4</v>
      </c>
      <c r="D22" t="s">
        <v>3</v>
      </c>
      <c r="M22" t="s">
        <v>306</v>
      </c>
    </row>
    <row r="23" spans="2:7" ht="12.75">
      <c r="B23" s="92" t="s">
        <v>398</v>
      </c>
      <c r="C23" s="330">
        <f>C10</f>
        <v>0.1</v>
      </c>
      <c r="D23" t="s">
        <v>3</v>
      </c>
      <c r="F23" s="67" t="s">
        <v>299</v>
      </c>
      <c r="G23" s="350">
        <f>J21+C17*C18-C19*(4-C17)</f>
        <v>122.5</v>
      </c>
    </row>
    <row r="24" spans="2:7" ht="12.75">
      <c r="B24" s="92" t="s">
        <v>300</v>
      </c>
      <c r="C24" s="196">
        <f>(C18+C19)*C17/C15*100</f>
        <v>16</v>
      </c>
      <c r="D24" t="s">
        <v>3</v>
      </c>
      <c r="F24" t="s">
        <v>285</v>
      </c>
      <c r="G24" s="350">
        <f>G21*$A$12/100-K21+A26</f>
        <v>122.5</v>
      </c>
    </row>
    <row r="25" spans="2:7" ht="12.75">
      <c r="B25" s="92" t="s">
        <v>2</v>
      </c>
      <c r="C25" s="25">
        <f>C24+C21+C20</f>
        <v>17.5</v>
      </c>
      <c r="D25" t="s">
        <v>297</v>
      </c>
      <c r="F25" t="s">
        <v>46</v>
      </c>
      <c r="G25" s="350">
        <f>G24-G23</f>
        <v>0</v>
      </c>
    </row>
    <row r="26" spans="1:8" ht="12.75">
      <c r="A26" s="148">
        <f>C26*C15/100</f>
        <v>97.26315789473685</v>
      </c>
      <c r="B26" s="92" t="s">
        <v>225</v>
      </c>
      <c r="C26" s="135">
        <f>C25-$A$12</f>
        <v>13.894736842105264</v>
      </c>
      <c r="D26" t="s">
        <v>3</v>
      </c>
      <c r="F26" t="s">
        <v>390</v>
      </c>
      <c r="G26" s="350">
        <f>G25-N21</f>
        <v>0</v>
      </c>
      <c r="H26" t="s">
        <v>305</v>
      </c>
    </row>
    <row r="27" spans="1:17" ht="13.5" thickBot="1">
      <c r="A27" s="476" t="s">
        <v>309</v>
      </c>
      <c r="B27" s="476"/>
      <c r="C27" s="476"/>
      <c r="D27" s="476"/>
      <c r="E27" s="476"/>
      <c r="F27" s="476"/>
      <c r="G27" s="476"/>
      <c r="H27" s="476"/>
      <c r="I27" s="476"/>
      <c r="J27" s="476"/>
      <c r="K27" s="476"/>
      <c r="L27" s="476"/>
      <c r="M27" s="476"/>
      <c r="N27" s="476"/>
      <c r="O27" s="476"/>
      <c r="P27" s="476"/>
      <c r="Q27" s="476"/>
    </row>
    <row r="28" spans="2:16" ht="12.75" customHeight="1">
      <c r="B28" s="67" t="s">
        <v>296</v>
      </c>
      <c r="C28" s="340">
        <f>F34</f>
        <v>190</v>
      </c>
      <c r="D28" s="138"/>
      <c r="E28" s="388"/>
      <c r="F28" s="477" t="s">
        <v>301</v>
      </c>
      <c r="G28" s="478"/>
      <c r="H28" s="478"/>
      <c r="I28" s="478"/>
      <c r="J28" s="479"/>
      <c r="K28" s="480" t="s">
        <v>389</v>
      </c>
      <c r="L28" s="482" t="s">
        <v>3</v>
      </c>
      <c r="M28" s="482" t="s">
        <v>302</v>
      </c>
      <c r="N28" s="482" t="s">
        <v>304</v>
      </c>
      <c r="O28" s="482" t="s">
        <v>303</v>
      </c>
      <c r="P28" s="482" t="s">
        <v>3</v>
      </c>
    </row>
    <row r="29" spans="2:16" ht="13.5" thickBot="1">
      <c r="B29" s="67" t="s">
        <v>87</v>
      </c>
      <c r="C29" s="340">
        <f>G34</f>
        <v>190</v>
      </c>
      <c r="F29" s="333" t="s">
        <v>296</v>
      </c>
      <c r="G29" s="331" t="s">
        <v>87</v>
      </c>
      <c r="H29" s="331" t="s">
        <v>86</v>
      </c>
      <c r="I29" s="331" t="s">
        <v>391</v>
      </c>
      <c r="J29" s="334" t="s">
        <v>298</v>
      </c>
      <c r="K29" s="481"/>
      <c r="L29" s="483"/>
      <c r="M29" s="484"/>
      <c r="N29" s="484"/>
      <c r="O29" s="484"/>
      <c r="P29" s="484"/>
    </row>
    <row r="30" spans="2:18" ht="13.5" thickBot="1">
      <c r="B30" s="67" t="s">
        <v>295</v>
      </c>
      <c r="C30" s="127">
        <v>2</v>
      </c>
      <c r="F30" s="335">
        <v>190</v>
      </c>
      <c r="G30" s="335">
        <v>190</v>
      </c>
      <c r="H30" s="332">
        <f>IF(G30&gt;=F30,$C$6+($C$7+$C$9)*G30/100,$C$6+$C$7*G30/100)</f>
        <v>10.66</v>
      </c>
      <c r="I30" s="332">
        <f>IF(G30&gt;=F30,$C$10*G30/100,$C$10*(G30-F30)*$E$2/100)</f>
        <v>0.19</v>
      </c>
      <c r="J30" s="336">
        <f>IF(I34&lt;0,H30,H30+I34)</f>
        <v>10.85</v>
      </c>
      <c r="K30" s="395">
        <f>IF($I$30&gt;0,IF(I30&gt;0,0,G30*$C$8/100-I30),IF(I30&lt;0,G30*$C$8/100,I30))</f>
        <v>0</v>
      </c>
      <c r="L30" s="397">
        <f>J30/G30*100</f>
        <v>5.7105263157894735</v>
      </c>
      <c r="M30" s="400">
        <v>16</v>
      </c>
      <c r="N30" s="376">
        <f>IF($G$38&lt;0,0,$G$38/100*M30)</f>
        <v>0</v>
      </c>
      <c r="O30" s="345">
        <f>N30+J30</f>
        <v>10.85</v>
      </c>
      <c r="P30" s="341">
        <f>O30/G30*100</f>
        <v>5.7105263157894735</v>
      </c>
      <c r="Q30" s="148">
        <f>$G$53</f>
        <v>0</v>
      </c>
      <c r="R30">
        <f>(O30+Q30)/G30*100</f>
        <v>5.7105263157894735</v>
      </c>
    </row>
    <row r="31" spans="1:18" ht="13.5" thickBot="1">
      <c r="A31" t="s">
        <v>290</v>
      </c>
      <c r="C31" s="357">
        <f>C5</f>
        <v>20</v>
      </c>
      <c r="F31" s="335">
        <v>0</v>
      </c>
      <c r="G31" s="335">
        <v>0</v>
      </c>
      <c r="H31" s="332">
        <f>IF(G31&gt;=F31,$C$6+($C$7+$C$9)*G31/100,$C$6+$C$7*G31/100)</f>
        <v>8</v>
      </c>
      <c r="I31" s="332">
        <f>IF(G31&gt;=F31,$C$10*G31/100,$C$10*(G31-F31)*$E$2/100)</f>
        <v>0</v>
      </c>
      <c r="J31" s="336">
        <f>H31</f>
        <v>8</v>
      </c>
      <c r="K31" s="395">
        <f>IF($I$30&gt;0,IF(I31&gt;0,0,G31*$C$8/100-I31),IF(I31&lt;0,G31*$C$8/100,I31))</f>
        <v>0</v>
      </c>
      <c r="L31" s="398" t="e">
        <f>J31/G31*100</f>
        <v>#DIV/0!</v>
      </c>
      <c r="M31" s="401">
        <v>8</v>
      </c>
      <c r="N31" s="376">
        <f>IF($G$38&lt;0,0,$G$38/100*M31)</f>
        <v>0</v>
      </c>
      <c r="O31" s="346">
        <f>N31+J31</f>
        <v>8</v>
      </c>
      <c r="P31" s="342" t="e">
        <f>O31/G31*100</f>
        <v>#DIV/0!</v>
      </c>
      <c r="Q31" s="148">
        <f>$G$53</f>
        <v>0</v>
      </c>
      <c r="R31" t="e">
        <f>(O31+Q31)/G31*100</f>
        <v>#DIV/0!</v>
      </c>
    </row>
    <row r="32" spans="2:18" ht="13.5" thickBot="1">
      <c r="B32" s="67" t="s">
        <v>293</v>
      </c>
      <c r="C32" s="357">
        <f>C6</f>
        <v>8</v>
      </c>
      <c r="F32" s="335">
        <v>0</v>
      </c>
      <c r="G32" s="335">
        <v>0</v>
      </c>
      <c r="H32" s="332">
        <f>IF(G32&gt;=F32,$C$6+($C$7+$C$9)*G32/100,$C$6+$C$7*G32/100)</f>
        <v>8</v>
      </c>
      <c r="I32" s="332">
        <f>IF(G32&gt;=F32,$C$10*G32/100,$C$10*(G32-F32)*$E$2/100)</f>
        <v>0</v>
      </c>
      <c r="J32" s="336">
        <f>H32</f>
        <v>8</v>
      </c>
      <c r="K32" s="395">
        <f>IF($I$30&gt;0,IF(I32&gt;0,0,G32*$C$8/100-I32),IF(I32&lt;0,G32*$C$8/100,I32))</f>
        <v>0</v>
      </c>
      <c r="L32" s="398" t="e">
        <f>J32/G32*100</f>
        <v>#DIV/0!</v>
      </c>
      <c r="M32" s="401">
        <v>0</v>
      </c>
      <c r="N32" s="376">
        <f>IF($G$38&lt;0,0,$G$38/100*M32)</f>
        <v>0</v>
      </c>
      <c r="O32" s="346">
        <f>N32+J32</f>
        <v>8</v>
      </c>
      <c r="P32" s="342" t="e">
        <f>O32/G32*100</f>
        <v>#DIV/0!</v>
      </c>
      <c r="Q32" s="148">
        <f>$G$53</f>
        <v>0</v>
      </c>
      <c r="R32" t="e">
        <f>(O32+Q32)/G32*100</f>
        <v>#DIV/0!</v>
      </c>
    </row>
    <row r="33" spans="2:18" ht="12.75">
      <c r="B33" s="67" t="s">
        <v>291</v>
      </c>
      <c r="C33" s="330">
        <f>C7</f>
        <v>1</v>
      </c>
      <c r="D33" t="s">
        <v>3</v>
      </c>
      <c r="F33" s="335">
        <v>0</v>
      </c>
      <c r="G33" s="335">
        <v>0</v>
      </c>
      <c r="H33" s="332">
        <f>IF(G33&gt;=F33,$C$6+($C$7+$C$9)*G33/100,$C$6+$C$7*G33/100)</f>
        <v>8</v>
      </c>
      <c r="I33" s="332">
        <f>IF(G33&gt;=F33,$C$10*G33/100,$C$10*(G33-F33)*$E$2/100)</f>
        <v>0</v>
      </c>
      <c r="J33" s="336">
        <f>H33</f>
        <v>8</v>
      </c>
      <c r="K33" s="395">
        <f>IF($I$30&gt;0,IF(I33&gt;0,0,G33*$C$8/100-I33),IF(I33&lt;0,G33*$C$8/100,I33))</f>
        <v>0</v>
      </c>
      <c r="L33" s="398" t="e">
        <f>J33/G33*100</f>
        <v>#DIV/0!</v>
      </c>
      <c r="M33" s="401">
        <v>0</v>
      </c>
      <c r="N33" s="376">
        <f>IF($G$38&lt;0,0,$G$38/100*M33)</f>
        <v>0</v>
      </c>
      <c r="O33" s="346">
        <f>N33+J33</f>
        <v>8</v>
      </c>
      <c r="P33" s="342" t="e">
        <f>O33/G33*100</f>
        <v>#DIV/0!</v>
      </c>
      <c r="Q33" s="148">
        <f>$G$53</f>
        <v>0</v>
      </c>
      <c r="R33" t="e">
        <f>(O33+Q33)/G33*100</f>
        <v>#DIV/0!</v>
      </c>
    </row>
    <row r="34" spans="2:17" ht="13.5" thickBot="1">
      <c r="B34" s="67" t="s">
        <v>292</v>
      </c>
      <c r="C34" s="330">
        <f>C35+C36</f>
        <v>0.5</v>
      </c>
      <c r="D34" t="s">
        <v>3</v>
      </c>
      <c r="F34" s="337">
        <f aca="true" t="shared" si="2" ref="F34:K34">SUM(F30:F33)</f>
        <v>190</v>
      </c>
      <c r="G34" s="338">
        <f t="shared" si="2"/>
        <v>190</v>
      </c>
      <c r="H34" s="338">
        <f t="shared" si="2"/>
        <v>34.66</v>
      </c>
      <c r="I34" s="338">
        <f t="shared" si="2"/>
        <v>0.19</v>
      </c>
      <c r="J34" s="339">
        <f t="shared" si="2"/>
        <v>34.85</v>
      </c>
      <c r="K34" s="396">
        <f t="shared" si="2"/>
        <v>0</v>
      </c>
      <c r="L34" s="399">
        <f>J34/G34*100</f>
        <v>18.342105263157897</v>
      </c>
      <c r="M34" s="343">
        <f>SUM(M30:M33)</f>
        <v>24</v>
      </c>
      <c r="N34" s="338">
        <f>SUM(N30:N33)</f>
        <v>0</v>
      </c>
      <c r="O34" s="347">
        <f>SUM(O30:O33)</f>
        <v>34.85</v>
      </c>
      <c r="P34" s="344">
        <f>O34/G34*100</f>
        <v>18.342105263157897</v>
      </c>
      <c r="Q34" s="137">
        <f>(Q30*C30+O34)/G34*100</f>
        <v>18.342105263157897</v>
      </c>
    </row>
    <row r="35" spans="2:13" ht="12.75">
      <c r="B35" s="92" t="s">
        <v>294</v>
      </c>
      <c r="C35" s="330">
        <f>C9</f>
        <v>0.4</v>
      </c>
      <c r="D35" t="s">
        <v>3</v>
      </c>
      <c r="M35" t="s">
        <v>306</v>
      </c>
    </row>
    <row r="36" spans="2:7" ht="12.75">
      <c r="B36" s="92" t="s">
        <v>398</v>
      </c>
      <c r="C36" s="330">
        <f>C10</f>
        <v>0.1</v>
      </c>
      <c r="D36" t="s">
        <v>3</v>
      </c>
      <c r="F36" s="67" t="s">
        <v>299</v>
      </c>
      <c r="G36" s="350">
        <f>J34+C30*C31-C32*(4-C30)</f>
        <v>58.849999999999994</v>
      </c>
    </row>
    <row r="37" spans="2:7" ht="12.75">
      <c r="B37" s="92" t="s">
        <v>300</v>
      </c>
      <c r="C37" s="196">
        <f>(C31+C32)*C30/C28*100</f>
        <v>29.47368421052631</v>
      </c>
      <c r="D37" t="s">
        <v>3</v>
      </c>
      <c r="F37" t="s">
        <v>285</v>
      </c>
      <c r="G37" s="350">
        <f>G34*$A$12/100-K34+A39</f>
        <v>58.849999999999994</v>
      </c>
    </row>
    <row r="38" spans="2:7" ht="12.75">
      <c r="B38" s="92" t="s">
        <v>2</v>
      </c>
      <c r="C38" s="25">
        <f>C37+C34+C33</f>
        <v>30.97368421052631</v>
      </c>
      <c r="D38" t="s">
        <v>297</v>
      </c>
      <c r="F38" t="s">
        <v>46</v>
      </c>
      <c r="G38" s="350">
        <f>G37-G36</f>
        <v>0</v>
      </c>
    </row>
    <row r="39" spans="1:8" ht="12.75">
      <c r="A39" s="148">
        <f>C39*C28/100</f>
        <v>51.99999999999999</v>
      </c>
      <c r="B39" s="92" t="s">
        <v>225</v>
      </c>
      <c r="C39" s="135">
        <f>C38-$A$12</f>
        <v>27.368421052631575</v>
      </c>
      <c r="D39" t="s">
        <v>3</v>
      </c>
      <c r="F39" t="s">
        <v>390</v>
      </c>
      <c r="G39" s="350">
        <f>G38-N34</f>
        <v>0</v>
      </c>
      <c r="H39" t="s">
        <v>305</v>
      </c>
    </row>
    <row r="40" spans="1:7" ht="12.75">
      <c r="A40" s="148"/>
      <c r="B40" s="92"/>
      <c r="C40" s="76"/>
      <c r="D40" s="76"/>
      <c r="E40" s="76"/>
      <c r="F40" s="76"/>
      <c r="G40" s="351"/>
    </row>
    <row r="41" spans="1:17" ht="12.75">
      <c r="A41" s="475" t="s">
        <v>310</v>
      </c>
      <c r="B41" s="475"/>
      <c r="C41" s="475"/>
      <c r="D41" s="475"/>
      <c r="E41" s="475"/>
      <c r="F41" s="475"/>
      <c r="G41" s="475"/>
      <c r="H41" s="475"/>
      <c r="I41" s="475"/>
      <c r="J41" s="475"/>
      <c r="K41" s="475"/>
      <c r="L41" s="475"/>
      <c r="M41" s="475"/>
      <c r="N41" s="475"/>
      <c r="O41" s="475"/>
      <c r="P41" s="475"/>
      <c r="Q41" s="475"/>
    </row>
    <row r="42" spans="2:16" s="52" customFormat="1" ht="12.75" customHeight="1" thickBot="1">
      <c r="B42" s="92"/>
      <c r="C42" s="351"/>
      <c r="F42" s="485"/>
      <c r="G42" s="485"/>
      <c r="H42" s="485"/>
      <c r="I42" s="485"/>
      <c r="J42" s="485"/>
      <c r="K42" s="355"/>
      <c r="L42" s="356"/>
      <c r="M42" s="356"/>
      <c r="N42" s="356"/>
      <c r="O42" s="356"/>
      <c r="P42" s="356"/>
    </row>
    <row r="43" spans="2:14" s="52" customFormat="1" ht="13.5" thickBot="1">
      <c r="B43" s="375"/>
      <c r="C43" s="362" t="s">
        <v>296</v>
      </c>
      <c r="D43" s="363" t="s">
        <v>87</v>
      </c>
      <c r="E43" s="363" t="s">
        <v>311</v>
      </c>
      <c r="F43" s="363" t="s">
        <v>215</v>
      </c>
      <c r="G43" s="363" t="s">
        <v>315</v>
      </c>
      <c r="H43" s="378" t="s">
        <v>323</v>
      </c>
      <c r="I43" s="378" t="s">
        <v>324</v>
      </c>
      <c r="J43" s="378" t="s">
        <v>45</v>
      </c>
      <c r="K43" s="356" t="s">
        <v>327</v>
      </c>
      <c r="L43" s="356" t="s">
        <v>392</v>
      </c>
      <c r="M43" s="356" t="s">
        <v>393</v>
      </c>
      <c r="N43" s="356" t="s">
        <v>394</v>
      </c>
    </row>
    <row r="44" spans="2:14" s="52" customFormat="1" ht="12.75">
      <c r="B44" s="361" t="s">
        <v>312</v>
      </c>
      <c r="C44" s="366">
        <f>C2</f>
        <v>1820</v>
      </c>
      <c r="D44" s="367">
        <f>C3</f>
        <v>1820</v>
      </c>
      <c r="E44" s="367">
        <f>A13</f>
        <v>73.6842105263158</v>
      </c>
      <c r="F44" s="368">
        <f>G12</f>
        <v>0</v>
      </c>
      <c r="G44" s="369">
        <f>C4</f>
        <v>4</v>
      </c>
      <c r="H44" s="357">
        <f>G11</f>
        <v>133.72</v>
      </c>
      <c r="I44" s="357">
        <f>G10</f>
        <v>133.72</v>
      </c>
      <c r="J44" s="379">
        <f>H44-I44</f>
        <v>0</v>
      </c>
      <c r="K44" s="351">
        <f>C2*C12/100</f>
        <v>139.3</v>
      </c>
      <c r="L44" s="351">
        <f>C44*0.015+G44*$C$32</f>
        <v>59.3</v>
      </c>
      <c r="M44" s="351">
        <f>J8-C6*(4-C4)</f>
        <v>53.72</v>
      </c>
      <c r="N44" s="351">
        <f>M44-L44</f>
        <v>-5.579999999999998</v>
      </c>
    </row>
    <row r="45" spans="2:14" s="52" customFormat="1" ht="12.75">
      <c r="B45" s="361" t="s">
        <v>313</v>
      </c>
      <c r="C45" s="370">
        <f>C15</f>
        <v>700</v>
      </c>
      <c r="D45" s="357">
        <f>C16</f>
        <v>700</v>
      </c>
      <c r="E45" s="357">
        <f>A26</f>
        <v>97.26315789473685</v>
      </c>
      <c r="F45" s="358">
        <f>G25</f>
        <v>0</v>
      </c>
      <c r="G45" s="359">
        <f>C17</f>
        <v>4</v>
      </c>
      <c r="H45" s="357">
        <f>G24</f>
        <v>122.5</v>
      </c>
      <c r="I45" s="357">
        <f>G23</f>
        <v>122.5</v>
      </c>
      <c r="J45" s="379">
        <f>H45-I45</f>
        <v>0</v>
      </c>
      <c r="K45" s="351">
        <f>C15*C25/100</f>
        <v>122.5</v>
      </c>
      <c r="L45" s="351">
        <f>C45*0.015+G45*$C$32</f>
        <v>42.5</v>
      </c>
      <c r="M45" s="351">
        <f>J21-C19*(4-C17)</f>
        <v>42.5</v>
      </c>
      <c r="N45" s="351">
        <f>M45-L45</f>
        <v>0</v>
      </c>
    </row>
    <row r="46" spans="2:14" s="52" customFormat="1" ht="13.5" thickBot="1">
      <c r="B46" s="361" t="s">
        <v>314</v>
      </c>
      <c r="C46" s="371">
        <f>C28</f>
        <v>190</v>
      </c>
      <c r="D46" s="372">
        <f>C29</f>
        <v>190</v>
      </c>
      <c r="E46" s="372">
        <f>A39</f>
        <v>51.99999999999999</v>
      </c>
      <c r="F46" s="373">
        <f>G38</f>
        <v>0</v>
      </c>
      <c r="G46" s="374">
        <f>C30</f>
        <v>2</v>
      </c>
      <c r="H46" s="357">
        <f>G37</f>
        <v>58.849999999999994</v>
      </c>
      <c r="I46" s="357">
        <f>G36</f>
        <v>58.849999999999994</v>
      </c>
      <c r="J46" s="379">
        <f>H46-I46</f>
        <v>0</v>
      </c>
      <c r="K46" s="351">
        <f>C28*C38/100</f>
        <v>58.849999999999994</v>
      </c>
      <c r="L46" s="351">
        <f>C46*0.015+G46*$C$32</f>
        <v>18.85</v>
      </c>
      <c r="M46" s="351">
        <f>J34-C32*(4-C30)</f>
        <v>18.85</v>
      </c>
      <c r="N46" s="351">
        <f>M46-L46</f>
        <v>0</v>
      </c>
    </row>
    <row r="47" spans="2:16" s="52" customFormat="1" ht="13.5" thickBot="1">
      <c r="B47" s="360" t="s">
        <v>316</v>
      </c>
      <c r="C47" s="364">
        <f aca="true" t="shared" si="3" ref="C47:I47">SUM(C44:C46)</f>
        <v>2710</v>
      </c>
      <c r="D47" s="364">
        <f t="shared" si="3"/>
        <v>2710</v>
      </c>
      <c r="E47" s="364">
        <f t="shared" si="3"/>
        <v>222.94736842105266</v>
      </c>
      <c r="F47" s="364">
        <f t="shared" si="3"/>
        <v>0</v>
      </c>
      <c r="G47" s="365">
        <f t="shared" si="3"/>
        <v>10</v>
      </c>
      <c r="H47" s="340">
        <f t="shared" si="3"/>
        <v>315.07000000000005</v>
      </c>
      <c r="I47" s="340">
        <f t="shared" si="3"/>
        <v>315.07000000000005</v>
      </c>
      <c r="J47" s="380">
        <f>H47-I47</f>
        <v>0</v>
      </c>
      <c r="K47" s="351">
        <f>SUM(K44:K46)</f>
        <v>320.65</v>
      </c>
      <c r="L47" s="377">
        <f>SUM(L44:L46)</f>
        <v>120.65</v>
      </c>
      <c r="M47" s="377">
        <f>SUM(M44:M46)</f>
        <v>115.07</v>
      </c>
      <c r="N47" s="351">
        <f>M47-L47</f>
        <v>-5.5800000000000125</v>
      </c>
      <c r="O47" s="52">
        <f>N47/D47*100</f>
        <v>-0.2059040590405909</v>
      </c>
      <c r="P47" s="52" t="s">
        <v>396</v>
      </c>
    </row>
    <row r="48" spans="2:15" s="52" customFormat="1" ht="12.75">
      <c r="B48" s="92"/>
      <c r="C48" s="351"/>
      <c r="D48" s="351"/>
      <c r="E48" s="351"/>
      <c r="F48" s="351"/>
      <c r="G48" s="353"/>
      <c r="H48" s="351"/>
      <c r="I48" s="351"/>
      <c r="J48" s="354"/>
      <c r="K48" s="351"/>
      <c r="L48" s="353">
        <f>(L47-G47*C32)/C47*100</f>
        <v>1.5000000000000002</v>
      </c>
      <c r="M48" s="402">
        <f>(M47-G47*C32)/D47*100</f>
        <v>1.2940959409594093</v>
      </c>
      <c r="N48" s="404">
        <f>M48-L48</f>
        <v>-0.20590405904059095</v>
      </c>
      <c r="O48" s="52" t="s">
        <v>397</v>
      </c>
    </row>
    <row r="49" spans="2:15" s="52" customFormat="1" ht="12.75">
      <c r="B49" s="92"/>
      <c r="F49" s="352"/>
      <c r="G49" s="352"/>
      <c r="H49" s="352"/>
      <c r="I49" s="352"/>
      <c r="J49" s="352"/>
      <c r="K49" s="352"/>
      <c r="L49" s="353" t="s">
        <v>326</v>
      </c>
      <c r="M49" s="353" t="s">
        <v>296</v>
      </c>
      <c r="N49" s="354" t="s">
        <v>328</v>
      </c>
      <c r="O49" s="353"/>
    </row>
    <row r="50" spans="2:17" s="52" customFormat="1" ht="12.75">
      <c r="B50" s="92" t="s">
        <v>296</v>
      </c>
      <c r="C50" s="351">
        <f>C47</f>
        <v>2710</v>
      </c>
      <c r="F50" s="92" t="s">
        <v>320</v>
      </c>
      <c r="G50" s="351">
        <f>C56*C51/100</f>
        <v>373.15</v>
      </c>
      <c r="K50" s="52" t="s">
        <v>320</v>
      </c>
      <c r="L50" s="377">
        <f>C51*0.04+A55</f>
        <v>373.15</v>
      </c>
      <c r="M50" s="351">
        <f>C58</f>
        <v>373.15</v>
      </c>
      <c r="N50" s="351">
        <f>L50-M50</f>
        <v>0</v>
      </c>
      <c r="O50" s="351"/>
      <c r="P50" s="351"/>
      <c r="Q50" s="351"/>
    </row>
    <row r="51" spans="2:15" s="52" customFormat="1" ht="12.75">
      <c r="B51" s="92" t="s">
        <v>87</v>
      </c>
      <c r="C51" s="351">
        <f>D47</f>
        <v>2710</v>
      </c>
      <c r="F51" s="92" t="s">
        <v>45</v>
      </c>
      <c r="G51" s="351">
        <f>G50-C54</f>
        <v>0</v>
      </c>
      <c r="K51" s="52" t="s">
        <v>325</v>
      </c>
      <c r="L51" s="352">
        <f>I47</f>
        <v>315.07000000000005</v>
      </c>
      <c r="M51" s="351">
        <f>K47</f>
        <v>320.65</v>
      </c>
      <c r="N51" s="351">
        <f>L51-M51</f>
        <v>-5.579999999999927</v>
      </c>
      <c r="O51" s="351"/>
    </row>
    <row r="52" spans="2:15" s="52" customFormat="1" ht="12.75">
      <c r="B52" s="92" t="s">
        <v>317</v>
      </c>
      <c r="C52" s="353">
        <f>25.25*G47</f>
        <v>252.5</v>
      </c>
      <c r="F52" s="92"/>
      <c r="G52" s="351"/>
      <c r="K52" s="52" t="s">
        <v>395</v>
      </c>
      <c r="L52" s="403">
        <f>L50-L51</f>
        <v>58.07999999999993</v>
      </c>
      <c r="M52" s="403">
        <f>M50-M51</f>
        <v>52.5</v>
      </c>
      <c r="N52" s="403">
        <f>L52-M52</f>
        <v>5.579999999999927</v>
      </c>
      <c r="O52" s="351"/>
    </row>
    <row r="53" spans="2:14" s="52" customFormat="1" ht="12.75">
      <c r="B53" s="92" t="s">
        <v>86</v>
      </c>
      <c r="C53" s="351">
        <f>8*G47+C47*0.015</f>
        <v>120.65</v>
      </c>
      <c r="F53" s="92"/>
      <c r="G53" s="351"/>
      <c r="K53" s="92" t="s">
        <v>285</v>
      </c>
      <c r="L53" s="351">
        <f>F47</f>
        <v>0</v>
      </c>
      <c r="M53" s="351">
        <v>0</v>
      </c>
      <c r="N53" s="351">
        <f>L53-M53</f>
        <v>0</v>
      </c>
    </row>
    <row r="54" spans="2:13" s="52" customFormat="1" ht="12.75">
      <c r="B54" s="92" t="s">
        <v>316</v>
      </c>
      <c r="C54" s="351">
        <f>C53+C52</f>
        <v>373.15</v>
      </c>
      <c r="F54" s="92" t="s">
        <v>321</v>
      </c>
      <c r="G54" s="351">
        <f>4.25*G47</f>
        <v>42.5</v>
      </c>
      <c r="H54" s="52" t="s">
        <v>322</v>
      </c>
      <c r="K54" s="52" t="s">
        <v>321</v>
      </c>
      <c r="L54" s="351"/>
      <c r="M54" s="52">
        <f>G47*5.25</f>
        <v>52.5</v>
      </c>
    </row>
    <row r="55" spans="1:12" s="52" customFormat="1" ht="12.75">
      <c r="A55" s="351">
        <f>C55*C50/100</f>
        <v>264.74999999999994</v>
      </c>
      <c r="B55" s="92" t="s">
        <v>318</v>
      </c>
      <c r="C55" s="52">
        <f>C54/C50*100-4</f>
        <v>9.769372693726936</v>
      </c>
      <c r="F55" s="92"/>
      <c r="G55" s="351"/>
      <c r="L55" s="351"/>
    </row>
    <row r="56" spans="2:7" s="52" customFormat="1" ht="12.75">
      <c r="B56" s="92" t="s">
        <v>2</v>
      </c>
      <c r="C56" s="52">
        <f>C55+4</f>
        <v>13.769372693726936</v>
      </c>
      <c r="D56" s="52" t="s">
        <v>319</v>
      </c>
      <c r="F56" s="92"/>
      <c r="G56" s="351"/>
    </row>
    <row r="57" spans="11:14" s="52" customFormat="1" ht="12.75">
      <c r="K57"/>
      <c r="L57"/>
      <c r="M57"/>
      <c r="N57"/>
    </row>
    <row r="58" ht="12.75">
      <c r="C58" s="148">
        <f>C56*C50/100</f>
        <v>373.15</v>
      </c>
    </row>
  </sheetData>
  <mergeCells count="26">
    <mergeCell ref="N2:N3"/>
    <mergeCell ref="O2:O3"/>
    <mergeCell ref="P2:P3"/>
    <mergeCell ref="F42:J42"/>
    <mergeCell ref="F2:J2"/>
    <mergeCell ref="M2:M3"/>
    <mergeCell ref="L2:L3"/>
    <mergeCell ref="P15:P16"/>
    <mergeCell ref="F28:J28"/>
    <mergeCell ref="K2:K3"/>
    <mergeCell ref="A14:Q14"/>
    <mergeCell ref="A27:Q27"/>
    <mergeCell ref="K28:K29"/>
    <mergeCell ref="L28:L29"/>
    <mergeCell ref="M28:M29"/>
    <mergeCell ref="N28:N29"/>
    <mergeCell ref="A41:Q41"/>
    <mergeCell ref="A1:Q1"/>
    <mergeCell ref="F15:J15"/>
    <mergeCell ref="K15:K16"/>
    <mergeCell ref="L15:L16"/>
    <mergeCell ref="M15:M16"/>
    <mergeCell ref="N15:N16"/>
    <mergeCell ref="O15:O16"/>
    <mergeCell ref="O28:O29"/>
    <mergeCell ref="P28:P2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5"/>
  <sheetViews>
    <sheetView workbookViewId="0" topLeftCell="A1">
      <selection activeCell="G10" sqref="G10"/>
    </sheetView>
  </sheetViews>
  <sheetFormatPr defaultColWidth="9.00390625" defaultRowHeight="12.75"/>
  <cols>
    <col min="1" max="1" width="11.75390625" style="1" customWidth="1"/>
    <col min="2" max="2" width="11.00390625" style="1" customWidth="1"/>
    <col min="3" max="3" width="13.25390625" style="1" customWidth="1"/>
    <col min="4" max="4" width="10.125" style="1" customWidth="1"/>
    <col min="5" max="8" width="9.125" style="1" customWidth="1"/>
    <col min="9" max="9" width="11.375" style="1" customWidth="1"/>
    <col min="10" max="16384" width="9.125" style="1" customWidth="1"/>
  </cols>
  <sheetData>
    <row r="1" spans="1:2" ht="12.75">
      <c r="A1" s="473" t="s">
        <v>164</v>
      </c>
      <c r="B1" s="473"/>
    </row>
    <row r="2" ht="12.75">
      <c r="D2" s="1" t="s">
        <v>163</v>
      </c>
    </row>
    <row r="3" spans="1:9" ht="12.75">
      <c r="A3" s="21" t="s">
        <v>212</v>
      </c>
      <c r="B3" s="165">
        <v>1</v>
      </c>
      <c r="D3" s="90" t="s">
        <v>99</v>
      </c>
      <c r="I3" s="2"/>
    </row>
    <row r="4" spans="1:11" ht="12.75">
      <c r="A4" s="3"/>
      <c r="B4" s="4" t="s">
        <v>0</v>
      </c>
      <c r="C4" s="4" t="s">
        <v>213</v>
      </c>
      <c r="D4" s="4" t="s">
        <v>6</v>
      </c>
      <c r="E4" s="4" t="s">
        <v>4</v>
      </c>
      <c r="F4" s="4" t="s">
        <v>5</v>
      </c>
      <c r="G4" s="4" t="s">
        <v>7</v>
      </c>
      <c r="H4" s="3" t="s">
        <v>6</v>
      </c>
      <c r="I4" s="486"/>
      <c r="J4" s="486"/>
      <c r="K4" s="2"/>
    </row>
    <row r="5" spans="1:11" ht="12.75">
      <c r="A5" s="5" t="s">
        <v>24</v>
      </c>
      <c r="B5" s="112">
        <v>5000000</v>
      </c>
      <c r="C5" s="168">
        <v>0</v>
      </c>
      <c r="D5" s="168">
        <f>IF(C5&lt;10,0.1+C5*0.005,0.15+(C5-10)*0.015)</f>
        <v>0.1</v>
      </c>
      <c r="E5" s="166">
        <v>0</v>
      </c>
      <c r="F5" s="30">
        <v>0</v>
      </c>
      <c r="G5" s="144">
        <f>B5/100*D5+B5/(100-C5)*C5*E5/100+F5</f>
        <v>5000</v>
      </c>
      <c r="H5" s="172">
        <f>G5/B5*100</f>
        <v>0.1</v>
      </c>
      <c r="I5" s="2"/>
      <c r="J5" s="2"/>
      <c r="K5" s="170"/>
    </row>
    <row r="6" spans="1:11" ht="12.75">
      <c r="A6" s="8" t="s">
        <v>27</v>
      </c>
      <c r="B6" s="112">
        <v>0</v>
      </c>
      <c r="C6" s="168">
        <v>0</v>
      </c>
      <c r="D6" s="168">
        <f>IF(C6&lt;10,0.1+C6*0.005,0.15+(C6-10)*0.015)</f>
        <v>0.1</v>
      </c>
      <c r="E6" s="166">
        <v>0</v>
      </c>
      <c r="F6" s="32">
        <v>0</v>
      </c>
      <c r="G6" s="144">
        <f>B6/100*D6+B6/(100-C6)*C6*E6/100+F6</f>
        <v>0</v>
      </c>
      <c r="H6" s="173" t="e">
        <f>G6/B6*100</f>
        <v>#DIV/0!</v>
      </c>
      <c r="I6" s="2"/>
      <c r="J6" s="2"/>
      <c r="K6" s="170"/>
    </row>
    <row r="7" spans="1:11" ht="12.75">
      <c r="A7" s="17" t="s">
        <v>2</v>
      </c>
      <c r="B7" s="18">
        <f>SUM(B5:B6)</f>
        <v>5000000</v>
      </c>
      <c r="C7" s="169">
        <f>($B$5*C5+$B$6*C6)/$B$7</f>
        <v>0</v>
      </c>
      <c r="D7" s="169">
        <f>($B$5*D5+$B$6*D6)/$B$7</f>
        <v>0.1</v>
      </c>
      <c r="E7" s="18">
        <f>E5</f>
        <v>0</v>
      </c>
      <c r="F7" s="145">
        <f>SUM(F5:F6)</f>
        <v>0</v>
      </c>
      <c r="G7" s="145">
        <f>SUM(G5:G6)</f>
        <v>5000</v>
      </c>
      <c r="H7" s="174">
        <f>G7/B7*100</f>
        <v>0.1</v>
      </c>
      <c r="I7" s="2"/>
      <c r="J7" s="2"/>
      <c r="K7" s="170"/>
    </row>
    <row r="8" spans="1:6" ht="12.75">
      <c r="A8" s="1" t="s">
        <v>214</v>
      </c>
      <c r="F8" s="2"/>
    </row>
    <row r="9" spans="1:10" ht="12.75">
      <c r="A9" s="3"/>
      <c r="B9" s="4" t="s">
        <v>0</v>
      </c>
      <c r="C9" s="4" t="s">
        <v>6</v>
      </c>
      <c r="D9" s="4" t="s">
        <v>46</v>
      </c>
      <c r="E9" s="189" t="s">
        <v>5</v>
      </c>
      <c r="F9" s="151" t="s">
        <v>224</v>
      </c>
      <c r="G9" s="151" t="s">
        <v>46</v>
      </c>
      <c r="H9" s="151" t="s">
        <v>21</v>
      </c>
      <c r="I9" s="151" t="s">
        <v>215</v>
      </c>
      <c r="J9" s="5" t="s">
        <v>6</v>
      </c>
    </row>
    <row r="10" spans="1:10" ht="12.75">
      <c r="A10" s="5" t="s">
        <v>24</v>
      </c>
      <c r="B10" s="200">
        <f>B5</f>
        <v>5000000</v>
      </c>
      <c r="C10" s="168">
        <v>0.25</v>
      </c>
      <c r="D10" s="30">
        <f>B10*C10/100</f>
        <v>12500</v>
      </c>
      <c r="E10" s="190">
        <v>25000</v>
      </c>
      <c r="F10" s="192">
        <f>D10+G5</f>
        <v>17500</v>
      </c>
      <c r="G10" s="192">
        <f>IF(F10&lt;E10,E10,F10)</f>
        <v>25000</v>
      </c>
      <c r="H10" s="192">
        <v>0</v>
      </c>
      <c r="I10" s="171">
        <f>G10+K26</f>
        <v>25000</v>
      </c>
      <c r="J10" s="175">
        <f>I10/B10*100</f>
        <v>0.5</v>
      </c>
    </row>
    <row r="11" spans="1:10" ht="12.75">
      <c r="A11" s="8" t="s">
        <v>27</v>
      </c>
      <c r="B11" s="200">
        <f>B6</f>
        <v>0</v>
      </c>
      <c r="C11" s="168">
        <v>0.25</v>
      </c>
      <c r="D11" s="30">
        <f>B11*C11/100</f>
        <v>0</v>
      </c>
      <c r="E11" s="188">
        <v>0</v>
      </c>
      <c r="F11" s="192">
        <f>D11+G6</f>
        <v>0</v>
      </c>
      <c r="G11" s="192">
        <f>IF(F11&lt;E11,E11,F11)</f>
        <v>0</v>
      </c>
      <c r="H11" s="192">
        <v>0</v>
      </c>
      <c r="I11" s="171">
        <f>G11+K27</f>
        <v>0</v>
      </c>
      <c r="J11" s="175" t="e">
        <f>I11/B11*100</f>
        <v>#DIV/0!</v>
      </c>
    </row>
    <row r="12" spans="1:10" ht="12.75">
      <c r="A12" s="17" t="s">
        <v>2</v>
      </c>
      <c r="B12" s="18">
        <f>SUM(B10:B11)</f>
        <v>5000000</v>
      </c>
      <c r="C12" s="169">
        <f>($B$5*C10+$B$6*C11)/$B$7</f>
        <v>0.25</v>
      </c>
      <c r="D12" s="202">
        <f>B12*C12/100</f>
        <v>12500</v>
      </c>
      <c r="E12" s="191">
        <f>SUM(E10:E11)</f>
        <v>25000</v>
      </c>
      <c r="F12" s="192">
        <f>D12+G7</f>
        <v>17500</v>
      </c>
      <c r="G12" s="192">
        <f>SUM(G10:G11)</f>
        <v>25000</v>
      </c>
      <c r="H12" s="196">
        <f>SUM(H10:H11)</f>
        <v>0</v>
      </c>
      <c r="I12" s="193">
        <f>SUM(I10:I11)</f>
        <v>25000</v>
      </c>
      <c r="J12" s="197">
        <f>I12/B12*100</f>
        <v>0.5</v>
      </c>
    </row>
    <row r="13" ht="12.75">
      <c r="F13" s="2"/>
    </row>
    <row r="14" spans="2:6" ht="12.75">
      <c r="B14" s="1" t="s">
        <v>218</v>
      </c>
      <c r="F14" s="2"/>
    </row>
    <row r="15" spans="2:6" ht="12.75">
      <c r="B15" s="1" t="s">
        <v>219</v>
      </c>
      <c r="F15" s="2"/>
    </row>
    <row r="16" ht="12.75">
      <c r="F16" s="2"/>
    </row>
    <row r="17" spans="2:6" ht="12.75">
      <c r="B17" s="1" t="s">
        <v>220</v>
      </c>
      <c r="F17" s="2"/>
    </row>
    <row r="19" spans="2:7" ht="12.75">
      <c r="B19" s="470" t="s">
        <v>34</v>
      </c>
      <c r="C19" s="471"/>
      <c r="D19" s="472"/>
      <c r="G19" s="179"/>
    </row>
    <row r="20" spans="2:4" ht="12.75">
      <c r="B20" s="27" t="s">
        <v>31</v>
      </c>
      <c r="C20" s="28" t="s">
        <v>32</v>
      </c>
      <c r="D20" s="29" t="s">
        <v>33</v>
      </c>
    </row>
    <row r="21" spans="2:7" ht="12.75">
      <c r="B21" s="5" t="s">
        <v>9</v>
      </c>
      <c r="C21" s="5">
        <f>D21*2</f>
        <v>13000</v>
      </c>
      <c r="D21" s="34">
        <v>6500</v>
      </c>
      <c r="F21" s="21" t="s">
        <v>8</v>
      </c>
      <c r="G21" s="22">
        <f>D35*B3+G12</f>
        <v>41900</v>
      </c>
    </row>
    <row r="22" spans="2:7" ht="12.75">
      <c r="B22" s="8" t="s">
        <v>10</v>
      </c>
      <c r="C22" s="5">
        <f aca="true" t="shared" si="0" ref="C22:C34">D22*2</f>
        <v>2000</v>
      </c>
      <c r="D22" s="35">
        <v>1000</v>
      </c>
      <c r="F22" s="21" t="s">
        <v>20</v>
      </c>
      <c r="G22" s="21">
        <f>G21/B7*100</f>
        <v>0.8380000000000001</v>
      </c>
    </row>
    <row r="23" spans="2:7" ht="12.75">
      <c r="B23" s="5" t="s">
        <v>11</v>
      </c>
      <c r="C23" s="5">
        <f t="shared" si="0"/>
        <v>500</v>
      </c>
      <c r="D23" s="34">
        <v>250</v>
      </c>
      <c r="F23" s="21"/>
      <c r="G23" s="21"/>
    </row>
    <row r="24" spans="2:8" ht="12.75">
      <c r="B24" s="10" t="s">
        <v>12</v>
      </c>
      <c r="C24" s="5">
        <f t="shared" si="0"/>
        <v>6400</v>
      </c>
      <c r="D24" s="66">
        <v>3200</v>
      </c>
      <c r="F24" s="21" t="s">
        <v>21</v>
      </c>
      <c r="G24" s="167">
        <v>0.75</v>
      </c>
      <c r="H24" s="203">
        <f>G24+(D7-0.1)</f>
        <v>0.75</v>
      </c>
    </row>
    <row r="25" spans="2:14" ht="12.75">
      <c r="B25" s="10" t="s">
        <v>13</v>
      </c>
      <c r="C25" s="5">
        <f t="shared" si="0"/>
        <v>500</v>
      </c>
      <c r="D25" s="66">
        <v>250</v>
      </c>
      <c r="F25" s="21" t="s">
        <v>22</v>
      </c>
      <c r="G25" s="21">
        <f>H24-G22</f>
        <v>-0.08800000000000008</v>
      </c>
      <c r="I25" s="25" t="s">
        <v>36</v>
      </c>
      <c r="J25" s="26" t="s">
        <v>3</v>
      </c>
      <c r="K25" s="26" t="s">
        <v>30</v>
      </c>
      <c r="N25" s="1" t="s">
        <v>137</v>
      </c>
    </row>
    <row r="26" spans="2:11" ht="12.75">
      <c r="B26" s="10" t="s">
        <v>14</v>
      </c>
      <c r="C26" s="5">
        <f t="shared" si="0"/>
        <v>1000</v>
      </c>
      <c r="D26" s="66">
        <v>500</v>
      </c>
      <c r="F26" s="21" t="s">
        <v>23</v>
      </c>
      <c r="G26" s="130">
        <f>G25*B7/100</f>
        <v>-4400.000000000004</v>
      </c>
      <c r="I26" s="23" t="s">
        <v>35</v>
      </c>
      <c r="J26" s="194">
        <f>H10</f>
        <v>0</v>
      </c>
      <c r="K26" s="16">
        <f>J26*G26/100</f>
        <v>0</v>
      </c>
    </row>
    <row r="27" spans="2:11" ht="12.75">
      <c r="B27" s="10" t="s">
        <v>15</v>
      </c>
      <c r="C27" s="5">
        <f t="shared" si="0"/>
        <v>1000</v>
      </c>
      <c r="D27" s="66">
        <v>500</v>
      </c>
      <c r="I27" s="12" t="s">
        <v>28</v>
      </c>
      <c r="J27" s="195">
        <f>H11</f>
        <v>0</v>
      </c>
      <c r="K27" s="16">
        <f>J27*G26/100</f>
        <v>0</v>
      </c>
    </row>
    <row r="28" spans="2:11" ht="12.75">
      <c r="B28" s="10" t="s">
        <v>16</v>
      </c>
      <c r="C28" s="5">
        <f t="shared" si="0"/>
        <v>0</v>
      </c>
      <c r="D28" s="66">
        <v>0</v>
      </c>
      <c r="I28" s="14" t="s">
        <v>29</v>
      </c>
      <c r="J28" s="198">
        <f>100-H12</f>
        <v>100</v>
      </c>
      <c r="K28" s="199">
        <f>J28*G26/100</f>
        <v>-4400.000000000004</v>
      </c>
    </row>
    <row r="29" spans="2:11" ht="12.75">
      <c r="B29" s="10" t="s">
        <v>17</v>
      </c>
      <c r="C29" s="5">
        <f t="shared" si="0"/>
        <v>0</v>
      </c>
      <c r="D29" s="66">
        <v>0</v>
      </c>
      <c r="K29" s="130">
        <f>SUM(K26:K28)</f>
        <v>-4400.000000000004</v>
      </c>
    </row>
    <row r="30" spans="2:4" ht="12.75">
      <c r="B30" s="10" t="s">
        <v>38</v>
      </c>
      <c r="C30" s="5">
        <f t="shared" si="0"/>
        <v>400</v>
      </c>
      <c r="D30" s="66">
        <v>200</v>
      </c>
    </row>
    <row r="31" spans="2:6" ht="12.75">
      <c r="B31" s="10" t="s">
        <v>37</v>
      </c>
      <c r="C31" s="5">
        <f t="shared" si="0"/>
        <v>800</v>
      </c>
      <c r="D31" s="66">
        <v>400</v>
      </c>
      <c r="F31" s="1" t="s">
        <v>217</v>
      </c>
    </row>
    <row r="32" spans="2:4" ht="15" customHeight="1">
      <c r="B32" s="10" t="s">
        <v>19</v>
      </c>
      <c r="C32" s="5">
        <f t="shared" si="0"/>
        <v>5000</v>
      </c>
      <c r="D32" s="66">
        <v>2500</v>
      </c>
    </row>
    <row r="33" spans="2:4" ht="12.75">
      <c r="B33" s="10" t="s">
        <v>39</v>
      </c>
      <c r="C33" s="5">
        <f t="shared" si="0"/>
        <v>2000</v>
      </c>
      <c r="D33" s="66">
        <v>1000</v>
      </c>
    </row>
    <row r="34" spans="2:4" ht="12.75">
      <c r="B34" s="10" t="s">
        <v>18</v>
      </c>
      <c r="C34" s="5">
        <f t="shared" si="0"/>
        <v>1200</v>
      </c>
      <c r="D34" s="66">
        <v>600</v>
      </c>
    </row>
    <row r="35" spans="2:5" ht="12.75">
      <c r="B35" s="10" t="s">
        <v>46</v>
      </c>
      <c r="C35" s="17">
        <f>SUM(C21:C34)</f>
        <v>33800</v>
      </c>
      <c r="D35" s="19">
        <f>SUM(D21:D34)</f>
        <v>16900</v>
      </c>
      <c r="E35" s="1" t="s">
        <v>216</v>
      </c>
    </row>
  </sheetData>
  <mergeCells count="3">
    <mergeCell ref="I4:J4"/>
    <mergeCell ref="B19:D19"/>
    <mergeCell ref="A1:B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54"/>
  <sheetViews>
    <sheetView workbookViewId="0" topLeftCell="A4">
      <selection activeCell="B9" sqref="B9:D25"/>
    </sheetView>
  </sheetViews>
  <sheetFormatPr defaultColWidth="9.00390625" defaultRowHeight="12.75"/>
  <cols>
    <col min="1" max="1" width="15.00390625" style="0" customWidth="1"/>
    <col min="2" max="2" width="13.25390625" style="0" customWidth="1"/>
    <col min="4" max="4" width="10.375" style="0" customWidth="1"/>
    <col min="5" max="5" width="13.125" style="0" customWidth="1"/>
    <col min="6" max="6" width="11.375" style="0" customWidth="1"/>
    <col min="7" max="7" width="12.375" style="0" customWidth="1"/>
    <col min="8" max="8" width="12.625" style="0" customWidth="1"/>
    <col min="9" max="9" width="11.625" style="0" customWidth="1"/>
  </cols>
  <sheetData>
    <row r="1" spans="1:17" ht="12.75">
      <c r="A1" s="473" t="s">
        <v>127</v>
      </c>
      <c r="B1" s="473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"/>
    </row>
    <row r="3" spans="1:17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1"/>
    </row>
    <row r="4" spans="1:7" s="1" customFormat="1" ht="12.75">
      <c r="A4" s="3"/>
      <c r="B4" s="4" t="s">
        <v>0</v>
      </c>
      <c r="C4" s="4" t="s">
        <v>6</v>
      </c>
      <c r="D4" s="4" t="s">
        <v>5</v>
      </c>
      <c r="E4" s="468" t="s">
        <v>73</v>
      </c>
      <c r="F4" s="469"/>
      <c r="G4" s="5" t="s">
        <v>6</v>
      </c>
    </row>
    <row r="5" spans="1:7" s="1" customFormat="1" ht="12.75">
      <c r="A5" s="5" t="s">
        <v>24</v>
      </c>
      <c r="B5" s="30">
        <v>7280000</v>
      </c>
      <c r="C5" s="31">
        <v>0.25</v>
      </c>
      <c r="D5" s="30">
        <v>30000</v>
      </c>
      <c r="E5" s="34">
        <v>20</v>
      </c>
      <c r="F5" s="178">
        <f>D5+J16</f>
        <v>37280</v>
      </c>
      <c r="G5" s="6">
        <f>F5/B5*100</f>
        <v>0.512087912087912</v>
      </c>
    </row>
    <row r="6" spans="1:7" s="1" customFormat="1" ht="12.75">
      <c r="A6" s="8" t="s">
        <v>27</v>
      </c>
      <c r="B6" s="30">
        <v>7280000</v>
      </c>
      <c r="C6" s="33">
        <v>0.25</v>
      </c>
      <c r="D6" s="32">
        <v>20000</v>
      </c>
      <c r="E6" s="35">
        <v>20</v>
      </c>
      <c r="F6" s="178">
        <f>D6+J17</f>
        <v>27280</v>
      </c>
      <c r="G6" s="9">
        <f>F6/B6*100</f>
        <v>0.3747252747252747</v>
      </c>
    </row>
    <row r="7" spans="1:7" s="1" customFormat="1" ht="12.75">
      <c r="A7" s="17" t="s">
        <v>2</v>
      </c>
      <c r="B7" s="18">
        <f>SUM(B5:B6)</f>
        <v>14560000</v>
      </c>
      <c r="C7" s="201">
        <f>(C5*B5+C6*B6)/B7</f>
        <v>0.25</v>
      </c>
      <c r="D7" s="18">
        <f>SUM(D5:D6)</f>
        <v>50000</v>
      </c>
      <c r="E7" s="19">
        <f>SUM(E5:E6)</f>
        <v>40</v>
      </c>
      <c r="F7" s="19">
        <f>SUM(F5:F6)</f>
        <v>64560</v>
      </c>
      <c r="G7" s="19">
        <f>F7/B7*100</f>
        <v>0.4434065934065934</v>
      </c>
    </row>
    <row r="8" spans="1:17" s="76" customFormat="1" ht="12.75">
      <c r="A8" s="52"/>
      <c r="B8" s="183"/>
      <c r="C8" s="183"/>
      <c r="D8" s="184"/>
      <c r="E8" s="185"/>
      <c r="F8" s="2"/>
      <c r="G8" s="2"/>
      <c r="H8" s="2"/>
      <c r="I8" s="1"/>
      <c r="J8" s="1"/>
      <c r="K8" s="1"/>
      <c r="L8" s="1"/>
      <c r="M8" s="1"/>
      <c r="N8" s="1"/>
      <c r="O8" s="1"/>
      <c r="P8" s="1"/>
      <c r="Q8" s="1"/>
    </row>
    <row r="9" spans="2:6" s="1" customFormat="1" ht="12.75">
      <c r="B9" s="470" t="s">
        <v>34</v>
      </c>
      <c r="C9" s="471"/>
      <c r="D9" s="472"/>
      <c r="E9" s="1" t="s">
        <v>221</v>
      </c>
      <c r="F9" s="1">
        <f>C7*B7/100+70000+13000</f>
        <v>119400</v>
      </c>
    </row>
    <row r="10" spans="2:6" s="1" customFormat="1" ht="12.75">
      <c r="B10" s="27" t="s">
        <v>31</v>
      </c>
      <c r="C10" s="28" t="s">
        <v>32</v>
      </c>
      <c r="D10" s="29" t="s">
        <v>33</v>
      </c>
      <c r="E10" s="1" t="s">
        <v>45</v>
      </c>
      <c r="F10" s="187">
        <f>F9-F11</f>
        <v>36400</v>
      </c>
    </row>
    <row r="11" spans="2:6" s="1" customFormat="1" ht="12.75">
      <c r="B11" s="5" t="s">
        <v>9</v>
      </c>
      <c r="C11" s="6">
        <f>D11*2</f>
        <v>13000</v>
      </c>
      <c r="D11" s="6">
        <v>6500</v>
      </c>
      <c r="E11" s="21" t="s">
        <v>8</v>
      </c>
      <c r="F11" s="22">
        <f>D7+C25</f>
        <v>83000</v>
      </c>
    </row>
    <row r="12" spans="2:6" s="1" customFormat="1" ht="12.75">
      <c r="B12" s="8" t="s">
        <v>10</v>
      </c>
      <c r="C12" s="6">
        <f aca="true" t="shared" si="0" ref="C12:C24">D12*2</f>
        <v>200</v>
      </c>
      <c r="D12" s="9">
        <v>100</v>
      </c>
      <c r="E12" s="21" t="s">
        <v>20</v>
      </c>
      <c r="F12" s="21">
        <f>F11/B7*100</f>
        <v>0.570054945054945</v>
      </c>
    </row>
    <row r="13" spans="2:6" s="1" customFormat="1" ht="12.75">
      <c r="B13" s="5" t="s">
        <v>11</v>
      </c>
      <c r="C13" s="6">
        <f t="shared" si="0"/>
        <v>500</v>
      </c>
      <c r="D13" s="6">
        <v>250</v>
      </c>
      <c r="E13" s="21"/>
      <c r="F13" s="21"/>
    </row>
    <row r="14" spans="2:7" s="1" customFormat="1" ht="12.75">
      <c r="B14" s="10" t="s">
        <v>12</v>
      </c>
      <c r="C14" s="6">
        <f t="shared" si="0"/>
        <v>7000</v>
      </c>
      <c r="D14" s="11">
        <v>3500</v>
      </c>
      <c r="E14" s="21" t="s">
        <v>21</v>
      </c>
      <c r="F14" s="20">
        <v>0.8</v>
      </c>
      <c r="G14" s="1">
        <f>F14*B7/100</f>
        <v>116480</v>
      </c>
    </row>
    <row r="15" spans="2:10" s="1" customFormat="1" ht="12.75">
      <c r="B15" s="10" t="s">
        <v>13</v>
      </c>
      <c r="C15" s="6">
        <f t="shared" si="0"/>
        <v>500</v>
      </c>
      <c r="D15" s="11">
        <v>250</v>
      </c>
      <c r="E15" s="21" t="s">
        <v>22</v>
      </c>
      <c r="F15" s="21">
        <f>F14-F12</f>
        <v>0.22994505494505502</v>
      </c>
      <c r="H15" s="25" t="s">
        <v>36</v>
      </c>
      <c r="I15" s="26" t="s">
        <v>3</v>
      </c>
      <c r="J15" s="26" t="s">
        <v>30</v>
      </c>
    </row>
    <row r="16" spans="2:10" s="1" customFormat="1" ht="12.75">
      <c r="B16" s="10" t="s">
        <v>14</v>
      </c>
      <c r="C16" s="6">
        <f t="shared" si="0"/>
        <v>1000</v>
      </c>
      <c r="D16" s="11">
        <v>500</v>
      </c>
      <c r="E16" s="21" t="s">
        <v>23</v>
      </c>
      <c r="F16" s="187">
        <f>F15*B7/100</f>
        <v>33480.00000000001</v>
      </c>
      <c r="H16" s="23" t="s">
        <v>35</v>
      </c>
      <c r="I16" s="10">
        <f>E5</f>
        <v>20</v>
      </c>
      <c r="J16" s="24">
        <f>F10*E5/100</f>
        <v>7280</v>
      </c>
    </row>
    <row r="17" spans="2:10" s="1" customFormat="1" ht="12.75">
      <c r="B17" s="10" t="s">
        <v>15</v>
      </c>
      <c r="C17" s="6">
        <f t="shared" si="0"/>
        <v>1300</v>
      </c>
      <c r="D17" s="11">
        <v>650</v>
      </c>
      <c r="H17" s="12" t="s">
        <v>28</v>
      </c>
      <c r="I17" s="8">
        <f>E6</f>
        <v>20</v>
      </c>
      <c r="J17" s="13">
        <f>F10*E6/100</f>
        <v>7280</v>
      </c>
    </row>
    <row r="18" spans="2:10" s="1" customFormat="1" ht="12.75">
      <c r="B18" s="10" t="s">
        <v>16</v>
      </c>
      <c r="C18" s="6">
        <f t="shared" si="0"/>
        <v>0</v>
      </c>
      <c r="D18" s="11">
        <v>0</v>
      </c>
      <c r="H18" s="14" t="s">
        <v>29</v>
      </c>
      <c r="I18" s="15">
        <f>100-E7</f>
        <v>60</v>
      </c>
      <c r="J18" s="16">
        <f>F16*(100-E7)/100</f>
        <v>20088.000000000004</v>
      </c>
    </row>
    <row r="19" spans="2:10" s="1" customFormat="1" ht="12.75">
      <c r="B19" s="10" t="s">
        <v>17</v>
      </c>
      <c r="C19" s="6">
        <f t="shared" si="0"/>
        <v>0</v>
      </c>
      <c r="D19" s="11">
        <v>0</v>
      </c>
      <c r="J19" s="130">
        <f>SUM(J16:J18)</f>
        <v>34648</v>
      </c>
    </row>
    <row r="20" spans="2:4" s="1" customFormat="1" ht="12.75">
      <c r="B20" s="10" t="s">
        <v>38</v>
      </c>
      <c r="C20" s="6">
        <f t="shared" si="0"/>
        <v>500</v>
      </c>
      <c r="D20" s="11">
        <v>250</v>
      </c>
    </row>
    <row r="21" spans="2:4" s="1" customFormat="1" ht="12.75">
      <c r="B21" s="10" t="s">
        <v>37</v>
      </c>
      <c r="C21" s="6">
        <f t="shared" si="0"/>
        <v>1000</v>
      </c>
      <c r="D21" s="11">
        <v>500</v>
      </c>
    </row>
    <row r="22" spans="2:4" s="1" customFormat="1" ht="12.75">
      <c r="B22" s="10" t="s">
        <v>19</v>
      </c>
      <c r="C22" s="6">
        <f t="shared" si="0"/>
        <v>5000</v>
      </c>
      <c r="D22" s="11">
        <v>2500</v>
      </c>
    </row>
    <row r="23" spans="2:4" s="1" customFormat="1" ht="12.75">
      <c r="B23" s="10" t="s">
        <v>39</v>
      </c>
      <c r="C23" s="6">
        <f t="shared" si="0"/>
        <v>2000</v>
      </c>
      <c r="D23" s="11">
        <v>1000</v>
      </c>
    </row>
    <row r="24" spans="2:4" s="1" customFormat="1" ht="12.75">
      <c r="B24" s="10" t="s">
        <v>18</v>
      </c>
      <c r="C24" s="6">
        <f t="shared" si="0"/>
        <v>1000</v>
      </c>
      <c r="D24" s="11">
        <v>500</v>
      </c>
    </row>
    <row r="25" spans="2:4" s="1" customFormat="1" ht="12.75">
      <c r="B25" s="10" t="s">
        <v>46</v>
      </c>
      <c r="C25" s="17">
        <f>SUM(C11:C24)</f>
        <v>33000</v>
      </c>
      <c r="D25" s="19">
        <f>SUM(D11:D24)</f>
        <v>16500</v>
      </c>
    </row>
    <row r="26" spans="1:17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2.75">
      <c r="A31" s="1"/>
      <c r="B31" s="1"/>
      <c r="C31" s="1">
        <v>20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22" ht="12.75">
      <c r="A32" s="73" t="s">
        <v>31</v>
      </c>
      <c r="B32" s="74" t="s">
        <v>33</v>
      </c>
      <c r="C32" s="75" t="s">
        <v>2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2.75">
      <c r="A33" s="108" t="s">
        <v>9</v>
      </c>
      <c r="B33" s="113">
        <v>6500</v>
      </c>
      <c r="C33" s="109">
        <f>B33*$C$31</f>
        <v>130000</v>
      </c>
      <c r="D33" s="1" t="s">
        <v>76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2.75">
      <c r="A34" s="110" t="s">
        <v>14</v>
      </c>
      <c r="B34" s="114">
        <v>500</v>
      </c>
      <c r="C34" s="109">
        <f aca="true" t="shared" si="1" ref="C34:C46">B34*$C$31</f>
        <v>10000</v>
      </c>
      <c r="D34" s="1" t="s">
        <v>77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2.75">
      <c r="A35" s="110" t="s">
        <v>15</v>
      </c>
      <c r="B35" s="114">
        <v>1000</v>
      </c>
      <c r="C35" s="109">
        <f t="shared" si="1"/>
        <v>20000</v>
      </c>
      <c r="D35" s="1" t="s">
        <v>77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2.75">
      <c r="A36" s="110" t="s">
        <v>19</v>
      </c>
      <c r="B36" s="114">
        <v>2000</v>
      </c>
      <c r="C36" s="109">
        <f t="shared" si="1"/>
        <v>40000</v>
      </c>
      <c r="D36" s="1" t="s">
        <v>83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2.75">
      <c r="A37" s="110" t="s">
        <v>39</v>
      </c>
      <c r="B37" s="114">
        <v>750</v>
      </c>
      <c r="C37" s="109">
        <f t="shared" si="1"/>
        <v>15000</v>
      </c>
      <c r="D37" s="1" t="s">
        <v>83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2.75">
      <c r="A38" s="110" t="s">
        <v>12</v>
      </c>
      <c r="B38" s="114">
        <v>3200</v>
      </c>
      <c r="C38" s="109">
        <f t="shared" si="1"/>
        <v>64000</v>
      </c>
      <c r="D38" s="1" t="s">
        <v>82</v>
      </c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2.75">
      <c r="A39" s="110" t="s">
        <v>38</v>
      </c>
      <c r="B39" s="114">
        <v>200</v>
      </c>
      <c r="C39" s="109">
        <f t="shared" si="1"/>
        <v>4000</v>
      </c>
      <c r="D39" s="1" t="s">
        <v>78</v>
      </c>
      <c r="E39" s="1"/>
      <c r="F39" s="1"/>
      <c r="G39" s="1"/>
      <c r="H39" s="1"/>
      <c r="I39" s="1"/>
      <c r="J39" s="186"/>
      <c r="K39" s="186"/>
      <c r="L39" s="186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2.75">
      <c r="A40" s="110" t="s">
        <v>37</v>
      </c>
      <c r="B40" s="114">
        <v>750</v>
      </c>
      <c r="C40" s="109">
        <f t="shared" si="1"/>
        <v>15000</v>
      </c>
      <c r="D40" s="1" t="s">
        <v>84</v>
      </c>
      <c r="E40" s="1"/>
      <c r="F40" s="1"/>
      <c r="G40" s="1"/>
      <c r="H40" s="1"/>
      <c r="I40" s="1"/>
      <c r="J40" s="186"/>
      <c r="K40" s="186"/>
      <c r="L40" s="186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2.75">
      <c r="A41" s="111" t="s">
        <v>10</v>
      </c>
      <c r="B41" s="115">
        <v>1000</v>
      </c>
      <c r="C41" s="109">
        <f t="shared" si="1"/>
        <v>20000</v>
      </c>
      <c r="D41" s="1" t="s">
        <v>80</v>
      </c>
      <c r="E41" s="1"/>
      <c r="F41" s="1"/>
      <c r="G41" s="1"/>
      <c r="H41" s="1"/>
      <c r="I41" s="1"/>
      <c r="J41" s="186"/>
      <c r="K41" s="186"/>
      <c r="L41" s="186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2.75">
      <c r="A42" s="108" t="s">
        <v>11</v>
      </c>
      <c r="B42" s="113">
        <v>500</v>
      </c>
      <c r="C42" s="109">
        <f t="shared" si="1"/>
        <v>10000</v>
      </c>
      <c r="D42" s="1" t="s">
        <v>80</v>
      </c>
      <c r="E42" s="1"/>
      <c r="F42" s="1"/>
      <c r="G42" s="1"/>
      <c r="H42" s="1"/>
      <c r="I42" s="1"/>
      <c r="J42" s="186"/>
      <c r="K42" s="186"/>
      <c r="L42" s="186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2.75">
      <c r="A43" s="110" t="s">
        <v>13</v>
      </c>
      <c r="B43" s="114">
        <v>1250</v>
      </c>
      <c r="C43" s="109">
        <f t="shared" si="1"/>
        <v>25000</v>
      </c>
      <c r="D43" s="1" t="s">
        <v>80</v>
      </c>
      <c r="E43" s="1"/>
      <c r="F43" s="1"/>
      <c r="G43" s="1"/>
      <c r="H43" s="1"/>
      <c r="I43" s="1"/>
      <c r="J43" s="186"/>
      <c r="K43" s="186"/>
      <c r="L43" s="186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2.75">
      <c r="A44" s="110" t="s">
        <v>16</v>
      </c>
      <c r="B44" s="114">
        <v>1000</v>
      </c>
      <c r="C44" s="109">
        <f t="shared" si="1"/>
        <v>20000</v>
      </c>
      <c r="D44" s="1" t="s">
        <v>79</v>
      </c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2.75">
      <c r="A45" s="110" t="s">
        <v>17</v>
      </c>
      <c r="B45" s="114">
        <v>3000</v>
      </c>
      <c r="C45" s="109">
        <f t="shared" si="1"/>
        <v>60000</v>
      </c>
      <c r="D45" s="1" t="s">
        <v>81</v>
      </c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2.75">
      <c r="A46" s="110" t="s">
        <v>18</v>
      </c>
      <c r="B46" s="114">
        <v>600</v>
      </c>
      <c r="C46" s="109">
        <f t="shared" si="1"/>
        <v>12000</v>
      </c>
      <c r="D46" s="1" t="s">
        <v>81</v>
      </c>
      <c r="E46" s="1" t="s">
        <v>85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2.75">
      <c r="A47" s="70" t="s">
        <v>46</v>
      </c>
      <c r="B47" s="71">
        <f>SUM(B33:B46)</f>
        <v>22250</v>
      </c>
      <c r="C47" s="72">
        <f>SUM(C33:C46)</f>
        <v>445000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2.75">
      <c r="A48" s="1"/>
      <c r="B48" s="98"/>
      <c r="C48" s="98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2.75">
      <c r="A49" s="2" t="s">
        <v>75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4:22" ht="12.75"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4:22" ht="12.75"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4:22" ht="12.75"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4:22" ht="12.75"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4:22" ht="12.75"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4:22" ht="12.75"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4:22" ht="12.75"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4:22" ht="12.75"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4:22" ht="12.75"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4:22" ht="12.75"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4:22" ht="12.75"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4:22" ht="12.75"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4:22" ht="12.75"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4:22" ht="12.75"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4:22" ht="12.75"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4:22" ht="12.75"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4:22" ht="12.75"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4:22" ht="12.75"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4:22" ht="12.75"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4:22" ht="12.75"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4:22" ht="12.75"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4:22" ht="12.75"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4:22" ht="12.75"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4:22" ht="12.75"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4:22" ht="12.75"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4:22" ht="12.75"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4:22" ht="12.75"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4:22" ht="12.75"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4:22" ht="12.75"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4:22" ht="12.75"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4:22" ht="12.75"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4:22" ht="12.75"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4:22" ht="12.75"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4:22" ht="12.75"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4:22" ht="12.75"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4:22" ht="12.75"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4:22" ht="12.75"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4:22" ht="12.75"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4:22" ht="12.75"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4:22" ht="12.75"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4:22" ht="12.75"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4:22" ht="12.75"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4:22" ht="12.75"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4:22" ht="12.75"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4:22" ht="12.75"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4:22" ht="12.75"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4:22" ht="12.75"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4:22" ht="12.75"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4:22" ht="12.75"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4:22" ht="12.75"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4:22" ht="12.75"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4:22" ht="12.75"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4:22" ht="12.75"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4:22" ht="12.75"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4:22" ht="12.75"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4:22" ht="12.75"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4:22" ht="12.75"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</sheetData>
  <mergeCells count="3">
    <mergeCell ref="E4:F4"/>
    <mergeCell ref="B9:D9"/>
    <mergeCell ref="A1:B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4"/>
  <sheetViews>
    <sheetView workbookViewId="0" topLeftCell="A1">
      <selection activeCell="C10" sqref="C10"/>
    </sheetView>
  </sheetViews>
  <sheetFormatPr defaultColWidth="9.00390625" defaultRowHeight="12.75"/>
  <cols>
    <col min="1" max="1" width="13.25390625" style="0" customWidth="1"/>
    <col min="2" max="2" width="11.75390625" style="0" bestFit="1" customWidth="1"/>
    <col min="3" max="3" width="13.375" style="0" customWidth="1"/>
    <col min="4" max="4" width="10.75390625" style="0" customWidth="1"/>
    <col min="5" max="5" width="13.75390625" style="0" customWidth="1"/>
    <col min="6" max="6" width="13.875" style="0" customWidth="1"/>
    <col min="7" max="7" width="11.125" style="0" customWidth="1"/>
    <col min="8" max="8" width="13.25390625" style="0" customWidth="1"/>
    <col min="9" max="9" width="11.625" style="0" customWidth="1"/>
    <col min="11" max="11" width="7.375" style="0" customWidth="1"/>
    <col min="12" max="12" width="7.25390625" style="0" customWidth="1"/>
  </cols>
  <sheetData>
    <row r="1" ht="12.75">
      <c r="A1" s="97" t="s">
        <v>126</v>
      </c>
    </row>
    <row r="2" spans="1:2" ht="12.75">
      <c r="A2" s="69">
        <f>СВОДНАЯ!N18</f>
        <v>32500</v>
      </c>
      <c r="B2" t="s">
        <v>421</v>
      </c>
    </row>
    <row r="3" ht="12.75">
      <c r="A3" s="91"/>
    </row>
    <row r="4" spans="1:10" ht="12.75">
      <c r="A4" s="93"/>
      <c r="B4" s="493" t="s">
        <v>444</v>
      </c>
      <c r="C4" s="493"/>
      <c r="D4" s="493"/>
      <c r="E4" s="394">
        <v>20</v>
      </c>
      <c r="F4" s="430">
        <f>(100+E4)/100*(100+F7)-100</f>
        <v>50</v>
      </c>
      <c r="G4" s="431" t="s">
        <v>414</v>
      </c>
      <c r="H4" s="431"/>
      <c r="I4" s="116">
        <v>20000</v>
      </c>
      <c r="J4" t="s">
        <v>437</v>
      </c>
    </row>
    <row r="5" spans="1:7" ht="12.75">
      <c r="A5" s="42"/>
      <c r="F5" s="21">
        <f>((100+F4)/100*(100-H11)-100)</f>
        <v>35</v>
      </c>
      <c r="G5" t="s">
        <v>445</v>
      </c>
    </row>
    <row r="6" spans="1:3" ht="12.75">
      <c r="A6" s="405"/>
      <c r="B6" s="415"/>
      <c r="C6" s="415"/>
    </row>
    <row r="7" spans="1:7" ht="12.75">
      <c r="A7" s="421"/>
      <c r="C7" s="497" t="s">
        <v>423</v>
      </c>
      <c r="D7" s="497"/>
      <c r="E7" s="497"/>
      <c r="F7" s="210">
        <v>25</v>
      </c>
      <c r="G7" t="s">
        <v>424</v>
      </c>
    </row>
    <row r="8" spans="1:11" ht="12.75">
      <c r="A8" s="421"/>
      <c r="B8" s="495" t="s">
        <v>420</v>
      </c>
      <c r="C8" s="494" t="s">
        <v>0</v>
      </c>
      <c r="D8" s="499" t="s">
        <v>412</v>
      </c>
      <c r="E8" s="499" t="s">
        <v>425</v>
      </c>
      <c r="F8" s="494" t="s">
        <v>285</v>
      </c>
      <c r="G8" s="494" t="s">
        <v>413</v>
      </c>
      <c r="H8" s="494" t="s">
        <v>2</v>
      </c>
      <c r="I8" s="498" t="s">
        <v>390</v>
      </c>
      <c r="K8" t="s">
        <v>415</v>
      </c>
    </row>
    <row r="9" spans="1:11" ht="12.75">
      <c r="A9" s="421"/>
      <c r="B9" s="496"/>
      <c r="C9" s="494"/>
      <c r="D9" s="499"/>
      <c r="E9" s="499"/>
      <c r="F9" s="494"/>
      <c r="G9" s="494"/>
      <c r="H9" s="494"/>
      <c r="I9" s="498"/>
      <c r="K9" t="s">
        <v>416</v>
      </c>
    </row>
    <row r="10" spans="1:15" ht="12.75">
      <c r="A10" s="421"/>
      <c r="B10" s="420">
        <v>2500000</v>
      </c>
      <c r="C10" s="414">
        <f>(B10+B10/100*F7)/100*(100-H11)</f>
        <v>2812500</v>
      </c>
      <c r="D10" s="127">
        <v>2</v>
      </c>
      <c r="E10" s="417">
        <v>5</v>
      </c>
      <c r="F10" s="418">
        <f>B10/100*D10+(C10-B10)/100*E10</f>
        <v>65625</v>
      </c>
      <c r="G10" s="416">
        <v>0</v>
      </c>
      <c r="H10" s="419">
        <f>G10+F10</f>
        <v>65625</v>
      </c>
      <c r="I10" s="62">
        <f>H10-A2-I4-N10-N11-N12</f>
        <v>-36875</v>
      </c>
      <c r="J10" t="s">
        <v>431</v>
      </c>
      <c r="N10" s="69">
        <f>B10*0.01</f>
        <v>25000</v>
      </c>
      <c r="O10" t="s">
        <v>432</v>
      </c>
    </row>
    <row r="11" spans="1:15" ht="12.75">
      <c r="A11" s="421"/>
      <c r="D11" s="62">
        <f>B10/100*D10</f>
        <v>50000</v>
      </c>
      <c r="E11">
        <f>(C10-B10)/100*E10</f>
        <v>15625</v>
      </c>
      <c r="F11" s="492" t="s">
        <v>436</v>
      </c>
      <c r="G11" s="492"/>
      <c r="H11" s="426">
        <v>10</v>
      </c>
      <c r="J11" t="s">
        <v>433</v>
      </c>
      <c r="M11" t="s">
        <v>434</v>
      </c>
      <c r="N11" s="425">
        <v>5000</v>
      </c>
      <c r="O11" t="s">
        <v>432</v>
      </c>
    </row>
    <row r="12" spans="1:15" ht="12.75">
      <c r="A12" s="421"/>
      <c r="D12" s="62"/>
      <c r="F12" s="424"/>
      <c r="G12" s="424"/>
      <c r="H12" s="76"/>
      <c r="J12" t="s">
        <v>443</v>
      </c>
      <c r="N12" s="429">
        <v>20000</v>
      </c>
      <c r="O12" t="s">
        <v>155</v>
      </c>
    </row>
    <row r="13" spans="1:14" ht="12.75">
      <c r="A13" s="421"/>
      <c r="B13" s="493" t="s">
        <v>417</v>
      </c>
      <c r="C13" s="493"/>
      <c r="D13" s="69">
        <f>C10-B10/(100+E4)*100</f>
        <v>729166.6666666667</v>
      </c>
      <c r="F13" s="67" t="s">
        <v>45</v>
      </c>
      <c r="G13" s="69">
        <f>D13-D14</f>
        <v>442291.66666666674</v>
      </c>
      <c r="J13" s="487" t="s">
        <v>435</v>
      </c>
      <c r="K13" s="488"/>
      <c r="L13" s="489"/>
      <c r="M13" s="490">
        <f>I10</f>
        <v>-36875</v>
      </c>
      <c r="N13" s="491"/>
    </row>
    <row r="14" spans="1:16" ht="12.75">
      <c r="A14" s="421"/>
      <c r="B14" s="493" t="s">
        <v>418</v>
      </c>
      <c r="C14" s="493"/>
      <c r="D14" s="69">
        <f>B10*0.1-IF(M13&lt;0,M13,M13*(100-O14)/100)</f>
        <v>286875</v>
      </c>
      <c r="F14" s="67" t="s">
        <v>419</v>
      </c>
      <c r="G14" s="423">
        <f>G13/(B10/(100+E4)*100)*100</f>
        <v>21.230000000000004</v>
      </c>
      <c r="H14" t="s">
        <v>422</v>
      </c>
      <c r="J14" s="21">
        <f>G13/C10*100</f>
        <v>15.72592592592593</v>
      </c>
      <c r="K14" t="s">
        <v>6</v>
      </c>
      <c r="M14" t="s">
        <v>302</v>
      </c>
      <c r="O14" s="20">
        <v>50</v>
      </c>
      <c r="P14" t="s">
        <v>3</v>
      </c>
    </row>
    <row r="15" spans="1:16" ht="12.75">
      <c r="A15" s="421"/>
      <c r="B15" s="62"/>
      <c r="C15" s="62"/>
      <c r="M15" t="s">
        <v>442</v>
      </c>
      <c r="N15" s="69">
        <f>IF(M13&gt;0,M13/100*O14,)+I4</f>
        <v>20000</v>
      </c>
      <c r="O15">
        <f>N15/C10*100</f>
        <v>0.7111111111111111</v>
      </c>
      <c r="P15" t="s">
        <v>6</v>
      </c>
    </row>
    <row r="16" ht="12.75">
      <c r="A16" s="421"/>
    </row>
    <row r="17" spans="1:15" ht="12.75">
      <c r="A17" s="421"/>
      <c r="B17" s="88" t="s">
        <v>438</v>
      </c>
      <c r="C17" s="88"/>
      <c r="N17" s="62">
        <f>M13/100*(100-O14)</f>
        <v>-18437.5</v>
      </c>
      <c r="O17" t="s">
        <v>446</v>
      </c>
    </row>
    <row r="18" spans="1:2" ht="12.75">
      <c r="A18" s="421"/>
      <c r="B18" s="88" t="s">
        <v>439</v>
      </c>
    </row>
    <row r="19" spans="1:2" ht="12.75">
      <c r="A19" s="421"/>
      <c r="B19" t="s">
        <v>426</v>
      </c>
    </row>
    <row r="20" spans="1:2" ht="12.75">
      <c r="A20" s="421"/>
      <c r="B20" t="s">
        <v>427</v>
      </c>
    </row>
    <row r="21" spans="1:2" ht="12.75">
      <c r="A21" s="421"/>
      <c r="B21" t="s">
        <v>428</v>
      </c>
    </row>
    <row r="22" spans="1:12" ht="12.75">
      <c r="A22" s="422"/>
      <c r="B22" t="s">
        <v>429</v>
      </c>
      <c r="L22" t="s">
        <v>430</v>
      </c>
    </row>
    <row r="23" spans="1:2" ht="12.75">
      <c r="A23" s="139"/>
      <c r="B23" t="s">
        <v>441</v>
      </c>
    </row>
    <row r="24" ht="12.75">
      <c r="K24" s="427" t="s">
        <v>440</v>
      </c>
    </row>
  </sheetData>
  <mergeCells count="15">
    <mergeCell ref="B4:D4"/>
    <mergeCell ref="C7:E7"/>
    <mergeCell ref="H8:H9"/>
    <mergeCell ref="I8:I9"/>
    <mergeCell ref="D8:D9"/>
    <mergeCell ref="E8:E9"/>
    <mergeCell ref="B14:C14"/>
    <mergeCell ref="F8:F9"/>
    <mergeCell ref="G8:G9"/>
    <mergeCell ref="B8:B9"/>
    <mergeCell ref="C8:C9"/>
    <mergeCell ref="J13:L13"/>
    <mergeCell ref="M13:N13"/>
    <mergeCell ref="F11:G11"/>
    <mergeCell ref="B13:C13"/>
  </mergeCells>
  <printOptions/>
  <pageMargins left="0.75" right="0.75" top="1" bottom="1" header="0.5" footer="0.5"/>
  <pageSetup horizontalDpi="600" verticalDpi="600"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3"/>
  <sheetViews>
    <sheetView workbookViewId="0" topLeftCell="A1">
      <selection activeCell="E7" sqref="E7"/>
    </sheetView>
  </sheetViews>
  <sheetFormatPr defaultColWidth="9.00390625" defaultRowHeight="12.75"/>
  <cols>
    <col min="1" max="1" width="16.125" style="0" customWidth="1"/>
    <col min="2" max="2" width="15.75390625" style="0" customWidth="1"/>
    <col min="3" max="3" width="12.875" style="0" customWidth="1"/>
    <col min="4" max="4" width="10.75390625" style="0" bestFit="1" customWidth="1"/>
  </cols>
  <sheetData>
    <row r="1" spans="1:12" ht="12.75">
      <c r="A1" s="473" t="s">
        <v>125</v>
      </c>
      <c r="B1" s="473"/>
      <c r="L1" t="s">
        <v>142</v>
      </c>
    </row>
    <row r="2" spans="6:14" ht="12.75">
      <c r="F2" s="67" t="s">
        <v>135</v>
      </c>
      <c r="G2" s="62">
        <f>$B$4*0.001</f>
        <v>14560</v>
      </c>
      <c r="H2" t="s">
        <v>141</v>
      </c>
      <c r="L2" s="67" t="s">
        <v>138</v>
      </c>
      <c r="M2" s="62">
        <f>$B$4*0.0005</f>
        <v>7280</v>
      </c>
      <c r="N2" t="s">
        <v>159</v>
      </c>
    </row>
    <row r="3" spans="3:12" ht="12.75">
      <c r="C3" s="67" t="s">
        <v>162</v>
      </c>
      <c r="D3" s="62">
        <f>B4*0.04</f>
        <v>582400</v>
      </c>
      <c r="F3" s="67" t="s">
        <v>139</v>
      </c>
      <c r="G3" s="62">
        <f>$B$4*0.0025</f>
        <v>36400</v>
      </c>
      <c r="H3" s="76" t="s">
        <v>143</v>
      </c>
      <c r="L3" t="s">
        <v>144</v>
      </c>
    </row>
    <row r="4" spans="1:16" ht="12.75">
      <c r="A4" s="77" t="s">
        <v>87</v>
      </c>
      <c r="B4" s="116">
        <v>14560000</v>
      </c>
      <c r="C4" s="67" t="s">
        <v>134</v>
      </c>
      <c r="D4" s="78">
        <f>B4*0.008</f>
        <v>116480</v>
      </c>
      <c r="F4" s="67" t="s">
        <v>136</v>
      </c>
      <c r="G4" s="62">
        <f>$B$4*0.002</f>
        <v>29120</v>
      </c>
      <c r="H4" t="s">
        <v>140</v>
      </c>
      <c r="K4" s="143" t="s">
        <v>156</v>
      </c>
      <c r="L4" t="s">
        <v>145</v>
      </c>
      <c r="N4" t="s">
        <v>146</v>
      </c>
      <c r="P4" t="s">
        <v>157</v>
      </c>
    </row>
    <row r="5" spans="3:16" s="76" customFormat="1" ht="12.75">
      <c r="C5" s="138" t="s">
        <v>139</v>
      </c>
      <c r="D5" s="78">
        <f>B4*0.0025</f>
        <v>36400</v>
      </c>
      <c r="F5" s="138" t="s">
        <v>139</v>
      </c>
      <c r="G5" s="139">
        <f>$B$4*0.0025</f>
        <v>36400</v>
      </c>
      <c r="H5" s="76" t="s">
        <v>160</v>
      </c>
      <c r="L5" s="76" t="s">
        <v>147</v>
      </c>
      <c r="P5" s="76" t="s">
        <v>158</v>
      </c>
    </row>
    <row r="6" spans="9:10" s="52" customFormat="1" ht="12.75">
      <c r="I6" s="485"/>
      <c r="J6" s="485"/>
    </row>
    <row r="7" spans="1:11" s="52" customFormat="1" ht="12.75">
      <c r="A7" s="52" t="s">
        <v>206</v>
      </c>
      <c r="B7" s="140"/>
      <c r="C7" s="141" t="s">
        <v>209</v>
      </c>
      <c r="D7" s="79"/>
      <c r="E7" s="79" t="s">
        <v>211</v>
      </c>
      <c r="F7" s="140"/>
      <c r="H7" s="141"/>
      <c r="K7" s="141"/>
    </row>
    <row r="8" spans="1:11" s="52" customFormat="1" ht="12.75">
      <c r="A8" s="52" t="s">
        <v>207</v>
      </c>
      <c r="B8" s="140"/>
      <c r="C8" s="141" t="s">
        <v>210</v>
      </c>
      <c r="D8" s="79"/>
      <c r="E8" s="79"/>
      <c r="F8" s="140"/>
      <c r="H8" s="141"/>
      <c r="K8" s="141"/>
    </row>
    <row r="9" spans="2:15" s="52" customFormat="1" ht="12.75">
      <c r="B9" s="140"/>
      <c r="C9" s="141"/>
      <c r="D9" s="140"/>
      <c r="E9" s="140"/>
      <c r="F9" s="140"/>
      <c r="G9" s="140"/>
      <c r="H9" s="141"/>
      <c r="K9" s="141"/>
      <c r="O9" s="142"/>
    </row>
    <row r="10" ht="13.5" thickBot="1"/>
    <row r="11" spans="1:7" ht="13.5" thickBot="1">
      <c r="A11" s="56" t="s">
        <v>8</v>
      </c>
      <c r="B11" s="57" t="s">
        <v>89</v>
      </c>
      <c r="C11" s="83" t="s">
        <v>90</v>
      </c>
      <c r="E11" t="s">
        <v>148</v>
      </c>
      <c r="F11" t="s">
        <v>149</v>
      </c>
      <c r="G11" t="s">
        <v>150</v>
      </c>
    </row>
    <row r="12" spans="1:3" ht="12.75">
      <c r="A12" s="82" t="s">
        <v>88</v>
      </c>
      <c r="B12" s="125">
        <f>C12*2</f>
        <v>12500</v>
      </c>
      <c r="C12" s="126">
        <v>6250</v>
      </c>
    </row>
    <row r="13" spans="1:5" ht="12.75">
      <c r="A13" s="81" t="s">
        <v>91</v>
      </c>
      <c r="B13" s="125">
        <f aca="true" t="shared" si="0" ref="B13:B20">C13*2</f>
        <v>5000</v>
      </c>
      <c r="C13" s="128">
        <v>2500</v>
      </c>
      <c r="E13" t="s">
        <v>151</v>
      </c>
    </row>
    <row r="14" spans="1:11" ht="12.75">
      <c r="A14" s="81" t="s">
        <v>92</v>
      </c>
      <c r="B14" s="125">
        <f t="shared" si="0"/>
        <v>2000</v>
      </c>
      <c r="C14" s="128">
        <v>1000</v>
      </c>
      <c r="E14" t="s">
        <v>152</v>
      </c>
      <c r="H14" t="s">
        <v>153</v>
      </c>
      <c r="K14" t="s">
        <v>161</v>
      </c>
    </row>
    <row r="15" spans="1:11" ht="12.75">
      <c r="A15" s="81" t="s">
        <v>94</v>
      </c>
      <c r="B15" s="125">
        <f t="shared" si="0"/>
        <v>6400</v>
      </c>
      <c r="C15" s="128">
        <v>3200</v>
      </c>
      <c r="H15" t="s">
        <v>154</v>
      </c>
      <c r="J15">
        <v>1800</v>
      </c>
      <c r="K15" t="s">
        <v>155</v>
      </c>
    </row>
    <row r="16" spans="1:8" ht="12.75">
      <c r="A16" s="81" t="s">
        <v>95</v>
      </c>
      <c r="B16" s="125">
        <f t="shared" si="0"/>
        <v>200</v>
      </c>
      <c r="C16" s="128">
        <v>100</v>
      </c>
      <c r="H16" t="s">
        <v>137</v>
      </c>
    </row>
    <row r="17" spans="1:3" ht="13.5" thickBot="1">
      <c r="A17" s="84" t="s">
        <v>93</v>
      </c>
      <c r="B17" s="125">
        <f t="shared" si="0"/>
        <v>6900</v>
      </c>
      <c r="C17" s="129">
        <v>3450</v>
      </c>
    </row>
    <row r="18" spans="1:3" ht="12.75">
      <c r="A18" s="43"/>
      <c r="B18" s="125">
        <f t="shared" si="0"/>
        <v>33000</v>
      </c>
      <c r="C18" s="85">
        <f>SUM(C12:C17)</f>
        <v>16500</v>
      </c>
    </row>
    <row r="19" spans="1:3" ht="12.75">
      <c r="A19" s="81" t="s">
        <v>86</v>
      </c>
      <c r="B19" s="125">
        <f t="shared" si="0"/>
        <v>40000</v>
      </c>
      <c r="C19" s="128">
        <v>20000</v>
      </c>
    </row>
    <row r="20" spans="1:3" ht="13.5" thickBot="1">
      <c r="A20" s="86"/>
      <c r="B20" s="125">
        <f t="shared" si="0"/>
        <v>73000</v>
      </c>
      <c r="C20" s="87">
        <f>C19+C18</f>
        <v>36500</v>
      </c>
    </row>
    <row r="21" spans="1:8" s="1" customFormat="1" ht="12.75">
      <c r="A21" s="3"/>
      <c r="B21" s="4" t="s">
        <v>0</v>
      </c>
      <c r="C21" s="4" t="s">
        <v>6</v>
      </c>
      <c r="D21" s="4" t="s">
        <v>2</v>
      </c>
      <c r="E21" s="4" t="s">
        <v>5</v>
      </c>
      <c r="F21" s="468" t="s">
        <v>73</v>
      </c>
      <c r="G21" s="469"/>
      <c r="H21" s="5" t="s">
        <v>6</v>
      </c>
    </row>
    <row r="22" spans="1:8" s="1" customFormat="1" ht="12.75">
      <c r="A22" s="5" t="s">
        <v>24</v>
      </c>
      <c r="B22" s="30">
        <v>7280000</v>
      </c>
      <c r="C22" s="31">
        <v>0.3</v>
      </c>
      <c r="D22" s="31">
        <f>B22*C22/100</f>
        <v>21840</v>
      </c>
      <c r="E22" s="30">
        <v>20000</v>
      </c>
      <c r="F22" s="34">
        <v>20</v>
      </c>
      <c r="G22" s="178">
        <f>E22+G27</f>
        <v>27240</v>
      </c>
      <c r="H22" s="6">
        <f>G22/B22*100</f>
        <v>0.3741758241758242</v>
      </c>
    </row>
    <row r="23" spans="1:8" s="1" customFormat="1" ht="12.75">
      <c r="A23" s="8" t="s">
        <v>27</v>
      </c>
      <c r="B23" s="30">
        <v>7280000</v>
      </c>
      <c r="C23" s="33">
        <v>0.3</v>
      </c>
      <c r="D23" s="31">
        <f>B23*C23/100</f>
        <v>21840</v>
      </c>
      <c r="E23" s="32">
        <v>20000</v>
      </c>
      <c r="F23" s="35">
        <v>20</v>
      </c>
      <c r="G23" s="178">
        <f>E23+G28</f>
        <v>27240</v>
      </c>
      <c r="H23" s="9">
        <f>G23/B23*100</f>
        <v>0.3741758241758242</v>
      </c>
    </row>
    <row r="24" spans="1:8" s="1" customFormat="1" ht="12.75">
      <c r="A24" s="17" t="s">
        <v>2</v>
      </c>
      <c r="B24" s="18">
        <f>SUM(B22:B23)</f>
        <v>14560000</v>
      </c>
      <c r="C24" s="201">
        <f>(C22*B22+C23*B23)/B24</f>
        <v>0.3</v>
      </c>
      <c r="D24" s="31">
        <f>B24*C24/100</f>
        <v>43680</v>
      </c>
      <c r="E24" s="18">
        <f>SUM(E22:E23)</f>
        <v>40000</v>
      </c>
      <c r="F24" s="19">
        <f>SUM(F22:F23)</f>
        <v>40</v>
      </c>
      <c r="G24" s="19">
        <f>SUM(G22:G23)</f>
        <v>54480</v>
      </c>
      <c r="H24" s="19">
        <f>G24/B24*100</f>
        <v>0.3741758241758242</v>
      </c>
    </row>
    <row r="25" spans="1:8" s="76" customFormat="1" ht="12.75">
      <c r="A25" s="52"/>
      <c r="B25" s="140"/>
      <c r="C25" s="140"/>
      <c r="D25" s="176"/>
      <c r="E25" s="177"/>
      <c r="F25" s="52"/>
      <c r="G25" s="52"/>
      <c r="H25" s="52"/>
    </row>
    <row r="26" spans="2:7" s="1" customFormat="1" ht="12.75">
      <c r="B26" s="1" t="s">
        <v>221</v>
      </c>
      <c r="C26" s="1">
        <f>C22*B24/100</f>
        <v>43680</v>
      </c>
      <c r="E26" s="25" t="s">
        <v>36</v>
      </c>
      <c r="F26" s="26" t="s">
        <v>3</v>
      </c>
      <c r="G26" s="26" t="s">
        <v>30</v>
      </c>
    </row>
    <row r="27" spans="2:7" s="1" customFormat="1" ht="12.75">
      <c r="B27" s="1" t="s">
        <v>45</v>
      </c>
      <c r="C27" s="179">
        <f>C26-C28</f>
        <v>-29320</v>
      </c>
      <c r="E27" s="23" t="s">
        <v>35</v>
      </c>
      <c r="F27" s="10">
        <f>F22</f>
        <v>20</v>
      </c>
      <c r="G27" s="24">
        <f>C33*F22/100</f>
        <v>7240</v>
      </c>
    </row>
    <row r="28" spans="2:7" s="1" customFormat="1" ht="12.75">
      <c r="B28" s="21" t="s">
        <v>8</v>
      </c>
      <c r="C28" s="22">
        <f>E24+B18</f>
        <v>73000</v>
      </c>
      <c r="E28" s="12" t="s">
        <v>28</v>
      </c>
      <c r="F28" s="8">
        <f>F23</f>
        <v>20</v>
      </c>
      <c r="G28" s="13">
        <f>C33*F23/100</f>
        <v>7240</v>
      </c>
    </row>
    <row r="29" spans="2:7" s="1" customFormat="1" ht="12.75">
      <c r="B29" s="21" t="s">
        <v>20</v>
      </c>
      <c r="C29" s="21">
        <f>C28/B24*100</f>
        <v>0.5013736263736264</v>
      </c>
      <c r="E29" s="180" t="s">
        <v>29</v>
      </c>
      <c r="F29" s="181">
        <f>100-F24</f>
        <v>60</v>
      </c>
      <c r="G29" s="182">
        <f>C33*(100-F24)/100</f>
        <v>21720</v>
      </c>
    </row>
    <row r="30" spans="2:7" s="1" customFormat="1" ht="12.75">
      <c r="B30" s="21"/>
      <c r="C30" s="21"/>
      <c r="G30" s="1">
        <f>SUM(G27:G29)</f>
        <v>36200</v>
      </c>
    </row>
    <row r="31" spans="2:4" s="1" customFormat="1" ht="12.75">
      <c r="B31" s="21" t="s">
        <v>21</v>
      </c>
      <c r="C31" s="20">
        <v>0.75</v>
      </c>
      <c r="D31" s="1">
        <f>C31*B24/100</f>
        <v>109200</v>
      </c>
    </row>
    <row r="32" spans="2:3" s="1" customFormat="1" ht="12.75">
      <c r="B32" s="21" t="s">
        <v>22</v>
      </c>
      <c r="C32" s="21">
        <f>C31-C29</f>
        <v>0.24862637362637363</v>
      </c>
    </row>
    <row r="33" spans="2:3" s="1" customFormat="1" ht="12.75">
      <c r="B33" s="21" t="s">
        <v>23</v>
      </c>
      <c r="C33" s="22">
        <f>C32*B24/100</f>
        <v>36200</v>
      </c>
    </row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</sheetData>
  <mergeCells count="3">
    <mergeCell ref="F21:G21"/>
    <mergeCell ref="A1:B1"/>
    <mergeCell ref="I6:J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39"/>
  <sheetViews>
    <sheetView workbookViewId="0" topLeftCell="A1">
      <selection activeCell="K21" sqref="K21:L21"/>
    </sheetView>
  </sheetViews>
  <sheetFormatPr defaultColWidth="9.00390625" defaultRowHeight="12.75"/>
  <cols>
    <col min="1" max="2" width="9.125" style="213" customWidth="1"/>
    <col min="3" max="3" width="10.625" style="213" customWidth="1"/>
    <col min="4" max="5" width="9.125" style="213" customWidth="1"/>
    <col min="6" max="6" width="10.75390625" style="213" customWidth="1"/>
    <col min="7" max="8" width="9.125" style="213" customWidth="1"/>
    <col min="9" max="9" width="10.375" style="213" customWidth="1"/>
    <col min="10" max="11" width="9.125" style="213" customWidth="1"/>
    <col min="12" max="15" width="10.75390625" style="213" customWidth="1"/>
    <col min="16" max="16" width="11.875" style="213" customWidth="1"/>
    <col min="17" max="17" width="9.75390625" style="213" bestFit="1" customWidth="1"/>
    <col min="18" max="18" width="14.125" style="213" customWidth="1"/>
    <col min="19" max="16384" width="9.125" style="213" customWidth="1"/>
  </cols>
  <sheetData>
    <row r="1" spans="1:17" ht="13.5" thickBot="1">
      <c r="A1" s="541" t="s">
        <v>96</v>
      </c>
      <c r="B1" s="542"/>
      <c r="C1" s="214">
        <v>12</v>
      </c>
      <c r="D1" s="532" t="s">
        <v>96</v>
      </c>
      <c r="E1" s="533"/>
      <c r="F1" s="215">
        <v>1</v>
      </c>
      <c r="G1" s="542" t="s">
        <v>96</v>
      </c>
      <c r="H1" s="542"/>
      <c r="I1" s="214">
        <v>3</v>
      </c>
      <c r="J1" s="532" t="s">
        <v>96</v>
      </c>
      <c r="K1" s="533"/>
      <c r="L1" s="215">
        <v>2</v>
      </c>
      <c r="M1" s="532" t="s">
        <v>96</v>
      </c>
      <c r="N1" s="533"/>
      <c r="O1" s="215">
        <v>1</v>
      </c>
      <c r="P1" s="254" t="s">
        <v>236</v>
      </c>
      <c r="Q1" s="255">
        <f>C1+F1+I1+L1+O1</f>
        <v>19</v>
      </c>
    </row>
    <row r="2" spans="1:15" ht="13.5" thickBot="1">
      <c r="A2" s="534" t="s">
        <v>233</v>
      </c>
      <c r="B2" s="535"/>
      <c r="C2" s="539"/>
      <c r="D2" s="534" t="s">
        <v>234</v>
      </c>
      <c r="E2" s="535"/>
      <c r="F2" s="536"/>
      <c r="G2" s="540" t="s">
        <v>235</v>
      </c>
      <c r="H2" s="535"/>
      <c r="I2" s="539"/>
      <c r="J2" s="534" t="s">
        <v>237</v>
      </c>
      <c r="K2" s="535"/>
      <c r="L2" s="536"/>
      <c r="M2" s="534" t="s">
        <v>238</v>
      </c>
      <c r="N2" s="535"/>
      <c r="O2" s="536"/>
    </row>
    <row r="3" spans="1:17" ht="13.5" thickBot="1">
      <c r="A3" s="228" t="s">
        <v>31</v>
      </c>
      <c r="B3" s="229" t="s">
        <v>32</v>
      </c>
      <c r="C3" s="230" t="s">
        <v>33</v>
      </c>
      <c r="D3" s="231" t="s">
        <v>31</v>
      </c>
      <c r="E3" s="232" t="s">
        <v>32</v>
      </c>
      <c r="F3" s="233" t="s">
        <v>33</v>
      </c>
      <c r="G3" s="228" t="s">
        <v>31</v>
      </c>
      <c r="H3" s="229" t="s">
        <v>32</v>
      </c>
      <c r="I3" s="230" t="s">
        <v>33</v>
      </c>
      <c r="J3" s="231" t="s">
        <v>31</v>
      </c>
      <c r="K3" s="232" t="s">
        <v>32</v>
      </c>
      <c r="L3" s="233" t="s">
        <v>33</v>
      </c>
      <c r="M3" s="228" t="s">
        <v>31</v>
      </c>
      <c r="N3" s="229" t="s">
        <v>32</v>
      </c>
      <c r="O3" s="230" t="s">
        <v>33</v>
      </c>
      <c r="P3" s="537" t="s">
        <v>46</v>
      </c>
      <c r="Q3" s="538"/>
    </row>
    <row r="4" spans="1:17" ht="12.75">
      <c r="A4" s="216" t="s">
        <v>9</v>
      </c>
      <c r="B4" s="240">
        <f>C4*$C$1</f>
        <v>120000</v>
      </c>
      <c r="C4" s="245">
        <v>10000</v>
      </c>
      <c r="D4" s="216" t="s">
        <v>9</v>
      </c>
      <c r="E4" s="241">
        <f>F4*$F$1</f>
        <v>2400</v>
      </c>
      <c r="F4" s="251">
        <v>2400</v>
      </c>
      <c r="G4" s="248" t="s">
        <v>9</v>
      </c>
      <c r="H4" s="241">
        <f>I4*$I$1</f>
        <v>7200</v>
      </c>
      <c r="I4" s="245">
        <v>2400</v>
      </c>
      <c r="J4" s="216" t="s">
        <v>9</v>
      </c>
      <c r="K4" s="241">
        <f>L4*$L$1</f>
        <v>12600</v>
      </c>
      <c r="L4" s="245">
        <v>6300</v>
      </c>
      <c r="M4" s="216" t="s">
        <v>9</v>
      </c>
      <c r="N4" s="253">
        <f>O4*$O$1</f>
        <v>20000</v>
      </c>
      <c r="O4" s="251">
        <v>20000</v>
      </c>
      <c r="P4" s="261" t="s">
        <v>9</v>
      </c>
      <c r="Q4" s="258">
        <f>K4+H4+E4+B4+N4</f>
        <v>162200</v>
      </c>
    </row>
    <row r="5" spans="1:17" ht="12.75">
      <c r="A5" s="218" t="s">
        <v>10</v>
      </c>
      <c r="B5" s="239">
        <f aca="true" t="shared" si="0" ref="B5:B17">C5*$C$1</f>
        <v>4800</v>
      </c>
      <c r="C5" s="246">
        <v>400</v>
      </c>
      <c r="D5" s="218" t="s">
        <v>10</v>
      </c>
      <c r="E5" s="227">
        <f aca="true" t="shared" si="1" ref="E5:E17">F5*$F$1</f>
        <v>400</v>
      </c>
      <c r="F5" s="224">
        <v>400</v>
      </c>
      <c r="G5" s="249" t="s">
        <v>10</v>
      </c>
      <c r="H5" s="227">
        <f aca="true" t="shared" si="2" ref="H5:H17">I5*$I$1</f>
        <v>300</v>
      </c>
      <c r="I5" s="246">
        <v>100</v>
      </c>
      <c r="J5" s="218" t="s">
        <v>10</v>
      </c>
      <c r="K5" s="227">
        <f aca="true" t="shared" si="3" ref="K5:K17">L5*2</f>
        <v>200</v>
      </c>
      <c r="L5" s="246">
        <v>100</v>
      </c>
      <c r="M5" s="218" t="s">
        <v>10</v>
      </c>
      <c r="N5" s="227">
        <f aca="true" t="shared" si="4" ref="N5:N17">O5*$O$1</f>
        <v>400</v>
      </c>
      <c r="O5" s="224">
        <v>400</v>
      </c>
      <c r="P5" s="262" t="s">
        <v>10</v>
      </c>
      <c r="Q5" s="259">
        <f aca="true" t="shared" si="5" ref="Q5:Q17">K5+H5+E5+B5+N5</f>
        <v>6100</v>
      </c>
    </row>
    <row r="6" spans="1:17" ht="12.75">
      <c r="A6" s="218" t="s">
        <v>11</v>
      </c>
      <c r="B6" s="239">
        <f t="shared" si="0"/>
        <v>3000</v>
      </c>
      <c r="C6" s="246">
        <v>250</v>
      </c>
      <c r="D6" s="218" t="s">
        <v>11</v>
      </c>
      <c r="E6" s="227">
        <f t="shared" si="1"/>
        <v>200</v>
      </c>
      <c r="F6" s="224">
        <v>200</v>
      </c>
      <c r="G6" s="249" t="s">
        <v>11</v>
      </c>
      <c r="H6" s="227">
        <f t="shared" si="2"/>
        <v>150</v>
      </c>
      <c r="I6" s="246">
        <v>50</v>
      </c>
      <c r="J6" s="218" t="s">
        <v>11</v>
      </c>
      <c r="K6" s="227">
        <f t="shared" si="3"/>
        <v>0</v>
      </c>
      <c r="L6" s="246">
        <v>0</v>
      </c>
      <c r="M6" s="218" t="s">
        <v>11</v>
      </c>
      <c r="N6" s="227">
        <f t="shared" si="4"/>
        <v>250</v>
      </c>
      <c r="O6" s="224">
        <v>250</v>
      </c>
      <c r="P6" s="262" t="s">
        <v>11</v>
      </c>
      <c r="Q6" s="259">
        <f t="shared" si="5"/>
        <v>3600</v>
      </c>
    </row>
    <row r="7" spans="1:17" ht="12.75">
      <c r="A7" s="218" t="s">
        <v>12</v>
      </c>
      <c r="B7" s="239">
        <f t="shared" si="0"/>
        <v>31200</v>
      </c>
      <c r="C7" s="246">
        <v>2600</v>
      </c>
      <c r="D7" s="218" t="s">
        <v>12</v>
      </c>
      <c r="E7" s="227">
        <f t="shared" si="1"/>
        <v>2600</v>
      </c>
      <c r="F7" s="224">
        <v>2600</v>
      </c>
      <c r="G7" s="249" t="s">
        <v>12</v>
      </c>
      <c r="H7" s="227">
        <f t="shared" si="2"/>
        <v>7800</v>
      </c>
      <c r="I7" s="246">
        <v>2600</v>
      </c>
      <c r="J7" s="218" t="s">
        <v>12</v>
      </c>
      <c r="K7" s="227">
        <f t="shared" si="3"/>
        <v>5200</v>
      </c>
      <c r="L7" s="246">
        <v>2600</v>
      </c>
      <c r="M7" s="218" t="s">
        <v>12</v>
      </c>
      <c r="N7" s="227">
        <f t="shared" si="4"/>
        <v>2600</v>
      </c>
      <c r="O7" s="224">
        <v>2600</v>
      </c>
      <c r="P7" s="262" t="s">
        <v>12</v>
      </c>
      <c r="Q7" s="259">
        <f t="shared" si="5"/>
        <v>49400</v>
      </c>
    </row>
    <row r="8" spans="1:17" ht="12.75">
      <c r="A8" s="218" t="s">
        <v>13</v>
      </c>
      <c r="B8" s="239">
        <f t="shared" si="0"/>
        <v>1800</v>
      </c>
      <c r="C8" s="246">
        <v>150</v>
      </c>
      <c r="D8" s="218" t="s">
        <v>13</v>
      </c>
      <c r="E8" s="227">
        <f t="shared" si="1"/>
        <v>250</v>
      </c>
      <c r="F8" s="224">
        <v>250</v>
      </c>
      <c r="G8" s="249" t="s">
        <v>13</v>
      </c>
      <c r="H8" s="227">
        <f t="shared" si="2"/>
        <v>450</v>
      </c>
      <c r="I8" s="246">
        <v>150</v>
      </c>
      <c r="J8" s="218" t="s">
        <v>13</v>
      </c>
      <c r="K8" s="227">
        <f t="shared" si="3"/>
        <v>200</v>
      </c>
      <c r="L8" s="246">
        <v>100</v>
      </c>
      <c r="M8" s="218" t="s">
        <v>13</v>
      </c>
      <c r="N8" s="227">
        <f t="shared" si="4"/>
        <v>200</v>
      </c>
      <c r="O8" s="224">
        <v>200</v>
      </c>
      <c r="P8" s="262" t="s">
        <v>13</v>
      </c>
      <c r="Q8" s="259">
        <f t="shared" si="5"/>
        <v>2900</v>
      </c>
    </row>
    <row r="9" spans="1:17" ht="12.75">
      <c r="A9" s="218" t="s">
        <v>14</v>
      </c>
      <c r="B9" s="239">
        <f t="shared" si="0"/>
        <v>4800</v>
      </c>
      <c r="C9" s="246">
        <v>400</v>
      </c>
      <c r="D9" s="218" t="s">
        <v>14</v>
      </c>
      <c r="E9" s="227">
        <f t="shared" si="1"/>
        <v>400</v>
      </c>
      <c r="F9" s="224">
        <v>400</v>
      </c>
      <c r="G9" s="249" t="s">
        <v>14</v>
      </c>
      <c r="H9" s="227">
        <f t="shared" si="2"/>
        <v>1200</v>
      </c>
      <c r="I9" s="246">
        <v>400</v>
      </c>
      <c r="J9" s="218" t="s">
        <v>14</v>
      </c>
      <c r="K9" s="227">
        <f t="shared" si="3"/>
        <v>300</v>
      </c>
      <c r="L9" s="246">
        <v>150</v>
      </c>
      <c r="M9" s="218" t="s">
        <v>14</v>
      </c>
      <c r="N9" s="227">
        <f t="shared" si="4"/>
        <v>400</v>
      </c>
      <c r="O9" s="224">
        <v>400</v>
      </c>
      <c r="P9" s="262" t="s">
        <v>14</v>
      </c>
      <c r="Q9" s="259">
        <f t="shared" si="5"/>
        <v>7100</v>
      </c>
    </row>
    <row r="10" spans="1:17" ht="12.75">
      <c r="A10" s="218" t="s">
        <v>15</v>
      </c>
      <c r="B10" s="239">
        <f t="shared" si="0"/>
        <v>21600</v>
      </c>
      <c r="C10" s="246">
        <v>1800</v>
      </c>
      <c r="D10" s="218" t="s">
        <v>15</v>
      </c>
      <c r="E10" s="227">
        <f t="shared" si="1"/>
        <v>1800</v>
      </c>
      <c r="F10" s="224">
        <v>1800</v>
      </c>
      <c r="G10" s="249" t="s">
        <v>15</v>
      </c>
      <c r="H10" s="227">
        <f t="shared" si="2"/>
        <v>5400</v>
      </c>
      <c r="I10" s="246">
        <v>1800</v>
      </c>
      <c r="J10" s="218" t="s">
        <v>15</v>
      </c>
      <c r="K10" s="227">
        <f t="shared" si="3"/>
        <v>0</v>
      </c>
      <c r="L10" s="246">
        <v>0</v>
      </c>
      <c r="M10" s="218" t="s">
        <v>15</v>
      </c>
      <c r="N10" s="227">
        <f t="shared" si="4"/>
        <v>1800</v>
      </c>
      <c r="O10" s="224">
        <v>1800</v>
      </c>
      <c r="P10" s="262" t="s">
        <v>15</v>
      </c>
      <c r="Q10" s="259">
        <f t="shared" si="5"/>
        <v>30600</v>
      </c>
    </row>
    <row r="11" spans="1:17" ht="12.75">
      <c r="A11" s="218" t="s">
        <v>16</v>
      </c>
      <c r="B11" s="239">
        <f t="shared" si="0"/>
        <v>15000</v>
      </c>
      <c r="C11" s="246">
        <v>1250</v>
      </c>
      <c r="D11" s="218" t="s">
        <v>16</v>
      </c>
      <c r="E11" s="227">
        <f t="shared" si="1"/>
        <v>0</v>
      </c>
      <c r="F11" s="224">
        <v>0</v>
      </c>
      <c r="G11" s="249" t="s">
        <v>16</v>
      </c>
      <c r="H11" s="227">
        <f t="shared" si="2"/>
        <v>0</v>
      </c>
      <c r="I11" s="246">
        <v>0</v>
      </c>
      <c r="J11" s="218" t="s">
        <v>16</v>
      </c>
      <c r="K11" s="227">
        <f t="shared" si="3"/>
        <v>0</v>
      </c>
      <c r="L11" s="246">
        <v>0</v>
      </c>
      <c r="M11" s="218" t="s">
        <v>16</v>
      </c>
      <c r="N11" s="227">
        <f t="shared" si="4"/>
        <v>1250</v>
      </c>
      <c r="O11" s="224">
        <v>1250</v>
      </c>
      <c r="P11" s="262" t="s">
        <v>16</v>
      </c>
      <c r="Q11" s="259">
        <f t="shared" si="5"/>
        <v>16250</v>
      </c>
    </row>
    <row r="12" spans="1:17" ht="12.75">
      <c r="A12" s="218" t="s">
        <v>17</v>
      </c>
      <c r="B12" s="239">
        <f t="shared" si="0"/>
        <v>36000</v>
      </c>
      <c r="C12" s="246">
        <v>3000</v>
      </c>
      <c r="D12" s="218" t="s">
        <v>17</v>
      </c>
      <c r="E12" s="227">
        <f t="shared" si="1"/>
        <v>0</v>
      </c>
      <c r="F12" s="224">
        <v>0</v>
      </c>
      <c r="G12" s="249" t="s">
        <v>17</v>
      </c>
      <c r="H12" s="227">
        <f t="shared" si="2"/>
        <v>150</v>
      </c>
      <c r="I12" s="246">
        <v>50</v>
      </c>
      <c r="J12" s="218" t="s">
        <v>17</v>
      </c>
      <c r="K12" s="227">
        <f t="shared" si="3"/>
        <v>6000</v>
      </c>
      <c r="L12" s="246">
        <v>3000</v>
      </c>
      <c r="M12" s="218" t="s">
        <v>17</v>
      </c>
      <c r="N12" s="227">
        <f t="shared" si="4"/>
        <v>0</v>
      </c>
      <c r="O12" s="224">
        <v>0</v>
      </c>
      <c r="P12" s="262" t="s">
        <v>17</v>
      </c>
      <c r="Q12" s="259">
        <f t="shared" si="5"/>
        <v>42150</v>
      </c>
    </row>
    <row r="13" spans="1:17" ht="12.75">
      <c r="A13" s="218" t="s">
        <v>38</v>
      </c>
      <c r="B13" s="239">
        <f t="shared" si="0"/>
        <v>3600</v>
      </c>
      <c r="C13" s="246">
        <v>300</v>
      </c>
      <c r="D13" s="218" t="s">
        <v>38</v>
      </c>
      <c r="E13" s="227">
        <f t="shared" si="1"/>
        <v>300</v>
      </c>
      <c r="F13" s="224">
        <v>300</v>
      </c>
      <c r="G13" s="249" t="s">
        <v>38</v>
      </c>
      <c r="H13" s="227">
        <f t="shared" si="2"/>
        <v>900</v>
      </c>
      <c r="I13" s="246">
        <v>300</v>
      </c>
      <c r="J13" s="218" t="s">
        <v>38</v>
      </c>
      <c r="K13" s="227">
        <f t="shared" si="3"/>
        <v>300</v>
      </c>
      <c r="L13" s="246">
        <v>150</v>
      </c>
      <c r="M13" s="218" t="s">
        <v>38</v>
      </c>
      <c r="N13" s="227">
        <f t="shared" si="4"/>
        <v>300</v>
      </c>
      <c r="O13" s="224">
        <v>300</v>
      </c>
      <c r="P13" s="262" t="s">
        <v>38</v>
      </c>
      <c r="Q13" s="259">
        <f t="shared" si="5"/>
        <v>5400</v>
      </c>
    </row>
    <row r="14" spans="1:17" ht="12.75">
      <c r="A14" s="218" t="s">
        <v>37</v>
      </c>
      <c r="B14" s="239">
        <f t="shared" si="0"/>
        <v>3600</v>
      </c>
      <c r="C14" s="246">
        <v>300</v>
      </c>
      <c r="D14" s="218" t="s">
        <v>37</v>
      </c>
      <c r="E14" s="227">
        <f t="shared" si="1"/>
        <v>250</v>
      </c>
      <c r="F14" s="224">
        <v>250</v>
      </c>
      <c r="G14" s="249" t="s">
        <v>37</v>
      </c>
      <c r="H14" s="227">
        <f t="shared" si="2"/>
        <v>750</v>
      </c>
      <c r="I14" s="246">
        <v>250</v>
      </c>
      <c r="J14" s="218" t="s">
        <v>37</v>
      </c>
      <c r="K14" s="227">
        <f t="shared" si="3"/>
        <v>0</v>
      </c>
      <c r="L14" s="246">
        <v>0</v>
      </c>
      <c r="M14" s="218" t="s">
        <v>37</v>
      </c>
      <c r="N14" s="227">
        <f t="shared" si="4"/>
        <v>500</v>
      </c>
      <c r="O14" s="224">
        <v>500</v>
      </c>
      <c r="P14" s="262" t="s">
        <v>37</v>
      </c>
      <c r="Q14" s="259">
        <f t="shared" si="5"/>
        <v>5100</v>
      </c>
    </row>
    <row r="15" spans="1:17" ht="12.75">
      <c r="A15" s="218" t="s">
        <v>19</v>
      </c>
      <c r="B15" s="239">
        <f t="shared" si="0"/>
        <v>39600</v>
      </c>
      <c r="C15" s="246">
        <v>3300</v>
      </c>
      <c r="D15" s="218" t="s">
        <v>19</v>
      </c>
      <c r="E15" s="227">
        <f t="shared" si="1"/>
        <v>3300</v>
      </c>
      <c r="F15" s="224">
        <v>3300</v>
      </c>
      <c r="G15" s="249" t="s">
        <v>19</v>
      </c>
      <c r="H15" s="227">
        <f t="shared" si="2"/>
        <v>9900</v>
      </c>
      <c r="I15" s="246">
        <v>3300</v>
      </c>
      <c r="J15" s="218" t="s">
        <v>19</v>
      </c>
      <c r="K15" s="227">
        <f t="shared" si="3"/>
        <v>6600</v>
      </c>
      <c r="L15" s="246">
        <v>3300</v>
      </c>
      <c r="M15" s="218" t="s">
        <v>19</v>
      </c>
      <c r="N15" s="227">
        <f t="shared" si="4"/>
        <v>3300</v>
      </c>
      <c r="O15" s="224">
        <v>3300</v>
      </c>
      <c r="P15" s="262" t="s">
        <v>19</v>
      </c>
      <c r="Q15" s="259">
        <f t="shared" si="5"/>
        <v>62700</v>
      </c>
    </row>
    <row r="16" spans="1:17" ht="12.75">
      <c r="A16" s="218" t="s">
        <v>39</v>
      </c>
      <c r="B16" s="239">
        <f t="shared" si="0"/>
        <v>6000</v>
      </c>
      <c r="C16" s="246">
        <v>500</v>
      </c>
      <c r="D16" s="218" t="s">
        <v>39</v>
      </c>
      <c r="E16" s="227">
        <f t="shared" si="1"/>
        <v>500</v>
      </c>
      <c r="F16" s="224">
        <v>500</v>
      </c>
      <c r="G16" s="249" t="s">
        <v>39</v>
      </c>
      <c r="H16" s="227">
        <f t="shared" si="2"/>
        <v>1500</v>
      </c>
      <c r="I16" s="246">
        <v>500</v>
      </c>
      <c r="J16" s="218" t="s">
        <v>39</v>
      </c>
      <c r="K16" s="227">
        <f t="shared" si="3"/>
        <v>1000</v>
      </c>
      <c r="L16" s="246">
        <v>500</v>
      </c>
      <c r="M16" s="218" t="s">
        <v>39</v>
      </c>
      <c r="N16" s="227">
        <f t="shared" si="4"/>
        <v>500</v>
      </c>
      <c r="O16" s="224">
        <v>500</v>
      </c>
      <c r="P16" s="262" t="s">
        <v>39</v>
      </c>
      <c r="Q16" s="259">
        <f t="shared" si="5"/>
        <v>9500</v>
      </c>
    </row>
    <row r="17" spans="1:17" ht="13.5" thickBot="1">
      <c r="A17" s="242" t="s">
        <v>378</v>
      </c>
      <c r="B17" s="243">
        <f t="shared" si="0"/>
        <v>12000</v>
      </c>
      <c r="C17" s="247">
        <v>1000</v>
      </c>
      <c r="D17" s="242" t="s">
        <v>18</v>
      </c>
      <c r="E17" s="244">
        <f t="shared" si="1"/>
        <v>0</v>
      </c>
      <c r="F17" s="252">
        <v>0</v>
      </c>
      <c r="G17" s="250" t="s">
        <v>18</v>
      </c>
      <c r="H17" s="244">
        <f t="shared" si="2"/>
        <v>0</v>
      </c>
      <c r="I17" s="247">
        <v>0</v>
      </c>
      <c r="J17" s="242" t="s">
        <v>18</v>
      </c>
      <c r="K17" s="244">
        <f t="shared" si="3"/>
        <v>0</v>
      </c>
      <c r="L17" s="247">
        <v>0</v>
      </c>
      <c r="M17" s="242" t="s">
        <v>18</v>
      </c>
      <c r="N17" s="244">
        <f t="shared" si="4"/>
        <v>1000</v>
      </c>
      <c r="O17" s="252">
        <v>1000</v>
      </c>
      <c r="P17" s="263" t="s">
        <v>378</v>
      </c>
      <c r="Q17" s="260">
        <f t="shared" si="5"/>
        <v>13000</v>
      </c>
    </row>
    <row r="18" spans="1:17" ht="13.5" thickBot="1">
      <c r="A18" s="217" t="s">
        <v>46</v>
      </c>
      <c r="B18" s="226">
        <f>SUM(B4:B17)</f>
        <v>303000</v>
      </c>
      <c r="C18" s="256">
        <f>SUM(C4:C17)</f>
        <v>25250</v>
      </c>
      <c r="D18" s="219" t="s">
        <v>46</v>
      </c>
      <c r="E18" s="221">
        <f>SUM(E4:E17)</f>
        <v>12400</v>
      </c>
      <c r="F18" s="234">
        <f>SUM(F4:F17)</f>
        <v>12400</v>
      </c>
      <c r="G18" s="220" t="s">
        <v>46</v>
      </c>
      <c r="H18" s="221">
        <f>SUM(H4:H17)</f>
        <v>35700</v>
      </c>
      <c r="I18" s="222">
        <f>SUM(I4:I17)</f>
        <v>11900</v>
      </c>
      <c r="J18" s="235" t="s">
        <v>46</v>
      </c>
      <c r="K18" s="236">
        <f>SUM(K4:K17)</f>
        <v>32400</v>
      </c>
      <c r="L18" s="237">
        <f>SUM(L4:L17)</f>
        <v>16200</v>
      </c>
      <c r="M18" s="235" t="s">
        <v>46</v>
      </c>
      <c r="N18" s="236">
        <f>SUM(N4:N17)</f>
        <v>32500</v>
      </c>
      <c r="O18" s="237">
        <f>SUM(O4:O17)</f>
        <v>32500</v>
      </c>
      <c r="P18" s="238" t="s">
        <v>46</v>
      </c>
      <c r="Q18" s="264">
        <f>SUM(Q4:Q17)</f>
        <v>416000</v>
      </c>
    </row>
    <row r="19" spans="1:19" ht="13.5" thickBot="1">
      <c r="A19" s="500" t="s">
        <v>233</v>
      </c>
      <c r="B19" s="501"/>
      <c r="C19" s="502"/>
      <c r="D19" s="500" t="s">
        <v>234</v>
      </c>
      <c r="E19" s="501"/>
      <c r="F19" s="503"/>
      <c r="G19" s="504" t="s">
        <v>235</v>
      </c>
      <c r="H19" s="501"/>
      <c r="I19" s="502"/>
      <c r="J19" s="500" t="s">
        <v>237</v>
      </c>
      <c r="K19" s="501"/>
      <c r="L19" s="503"/>
      <c r="M19" s="500" t="s">
        <v>238</v>
      </c>
      <c r="N19" s="501"/>
      <c r="O19" s="502"/>
      <c r="P19" s="269" t="s">
        <v>251</v>
      </c>
      <c r="Q19" s="245">
        <v>15</v>
      </c>
      <c r="R19" s="408">
        <f>Q19/(Q19+100)*100</f>
        <v>13.043478260869565</v>
      </c>
      <c r="S19" s="213" t="s">
        <v>400</v>
      </c>
    </row>
    <row r="20" spans="1:19" ht="12.75">
      <c r="A20" s="274" t="s">
        <v>239</v>
      </c>
      <c r="B20" s="521">
        <v>0</v>
      </c>
      <c r="C20" s="528"/>
      <c r="D20" s="225" t="s">
        <v>239</v>
      </c>
      <c r="E20" s="521">
        <v>0</v>
      </c>
      <c r="F20" s="528"/>
      <c r="G20" s="225" t="s">
        <v>239</v>
      </c>
      <c r="H20" s="521">
        <v>0</v>
      </c>
      <c r="I20" s="528"/>
      <c r="J20" s="225" t="s">
        <v>239</v>
      </c>
      <c r="K20" s="521">
        <v>0</v>
      </c>
      <c r="L20" s="528"/>
      <c r="M20" s="225" t="s">
        <v>239</v>
      </c>
      <c r="N20" s="521">
        <v>700000</v>
      </c>
      <c r="O20" s="522"/>
      <c r="P20" s="223" t="s">
        <v>250</v>
      </c>
      <c r="Q20" s="246">
        <v>0</v>
      </c>
      <c r="R20" s="408">
        <f>R19-Q20</f>
        <v>13.043478260869565</v>
      </c>
      <c r="S20" s="213" t="s">
        <v>403</v>
      </c>
    </row>
    <row r="21" spans="1:19" ht="13.5" thickBot="1">
      <c r="A21" s="275" t="s">
        <v>97</v>
      </c>
      <c r="B21" s="524">
        <f>K21</f>
        <v>8000000</v>
      </c>
      <c r="C21" s="529"/>
      <c r="D21" s="257" t="s">
        <v>97</v>
      </c>
      <c r="E21" s="524">
        <f>K21</f>
        <v>8000000</v>
      </c>
      <c r="F21" s="529"/>
      <c r="G21" s="257" t="s">
        <v>97</v>
      </c>
      <c r="H21" s="524">
        <f>K21</f>
        <v>8000000</v>
      </c>
      <c r="I21" s="529"/>
      <c r="J21" s="257" t="s">
        <v>97</v>
      </c>
      <c r="K21" s="530">
        <v>8000000</v>
      </c>
      <c r="L21" s="531"/>
      <c r="M21" s="257" t="s">
        <v>97</v>
      </c>
      <c r="N21" s="523">
        <v>0</v>
      </c>
      <c r="O21" s="524"/>
      <c r="P21" s="257" t="s">
        <v>252</v>
      </c>
      <c r="Q21" s="406">
        <f>(K21/100*(100-Q20))/100*R20-(0.0315+P27/100)*K21+P34</f>
        <v>128478.26086956519</v>
      </c>
      <c r="R21" s="408">
        <f>Q21/K21*100</f>
        <v>1.6059782608695647</v>
      </c>
      <c r="S21" s="213" t="s">
        <v>401</v>
      </c>
    </row>
    <row r="22" spans="1:19" ht="12.75">
      <c r="A22" s="276" t="s">
        <v>240</v>
      </c>
      <c r="B22" s="525">
        <f>B21*0.015+8000*C1</f>
        <v>216000</v>
      </c>
      <c r="C22" s="526"/>
      <c r="D22" s="270" t="s">
        <v>240</v>
      </c>
      <c r="E22" s="525">
        <v>0</v>
      </c>
      <c r="F22" s="526"/>
      <c r="G22" s="270" t="s">
        <v>240</v>
      </c>
      <c r="H22" s="525">
        <v>0</v>
      </c>
      <c r="I22" s="526"/>
      <c r="J22" s="270" t="s">
        <v>240</v>
      </c>
      <c r="K22" s="525">
        <v>0</v>
      </c>
      <c r="L22" s="526"/>
      <c r="M22" s="270" t="s">
        <v>240</v>
      </c>
      <c r="N22" s="525"/>
      <c r="O22" s="527"/>
      <c r="P22" s="268">
        <f>B22+E22+H22+K22+N22</f>
        <v>216000</v>
      </c>
      <c r="Q22" s="96">
        <f>P22/$K$21*100</f>
        <v>2.7</v>
      </c>
      <c r="R22" s="408">
        <f>R20-R21</f>
        <v>11.4375</v>
      </c>
      <c r="S22" s="213" t="s">
        <v>399</v>
      </c>
    </row>
    <row r="23" spans="1:19" ht="12.75">
      <c r="A23" s="277" t="s">
        <v>248</v>
      </c>
      <c r="B23" s="507">
        <v>0</v>
      </c>
      <c r="C23" s="508"/>
      <c r="D23" s="271" t="s">
        <v>248</v>
      </c>
      <c r="E23" s="507">
        <v>0</v>
      </c>
      <c r="F23" s="508"/>
      <c r="G23" s="271" t="s">
        <v>248</v>
      </c>
      <c r="H23" s="507">
        <v>0</v>
      </c>
      <c r="I23" s="508"/>
      <c r="J23" s="271" t="s">
        <v>248</v>
      </c>
      <c r="K23" s="507">
        <v>0</v>
      </c>
      <c r="L23" s="508"/>
      <c r="M23" s="271" t="s">
        <v>248</v>
      </c>
      <c r="N23" s="507"/>
      <c r="O23" s="509"/>
      <c r="P23" s="265">
        <f aca="true" t="shared" si="6" ref="P23:P34">B23+E23+H23+K23+N23</f>
        <v>0</v>
      </c>
      <c r="Q23" s="96">
        <f aca="true" t="shared" si="7" ref="Q23:Q34">P23/$K$21*100</f>
        <v>0</v>
      </c>
      <c r="R23" s="407">
        <f>(Q18+P24)/(R20-3.15)*100</f>
        <v>7358382.77301692</v>
      </c>
      <c r="S23" s="213" t="s">
        <v>402</v>
      </c>
    </row>
    <row r="24" spans="1:18" ht="12.75">
      <c r="A24" s="277" t="s">
        <v>249</v>
      </c>
      <c r="B24" s="505">
        <v>165000</v>
      </c>
      <c r="C24" s="510"/>
      <c r="D24" s="271" t="s">
        <v>249</v>
      </c>
      <c r="E24" s="505">
        <v>25000</v>
      </c>
      <c r="F24" s="510"/>
      <c r="G24" s="271" t="s">
        <v>249</v>
      </c>
      <c r="H24" s="505">
        <v>70000</v>
      </c>
      <c r="I24" s="510"/>
      <c r="J24" s="271" t="s">
        <v>249</v>
      </c>
      <c r="K24" s="505">
        <v>40000</v>
      </c>
      <c r="L24" s="510"/>
      <c r="M24" s="271" t="s">
        <v>249</v>
      </c>
      <c r="N24" s="505">
        <v>12000</v>
      </c>
      <c r="O24" s="506"/>
      <c r="P24" s="265">
        <f t="shared" si="6"/>
        <v>312000</v>
      </c>
      <c r="Q24" s="96">
        <f t="shared" si="7"/>
        <v>3.9</v>
      </c>
      <c r="R24" s="96"/>
    </row>
    <row r="25" spans="1:18" ht="12.75">
      <c r="A25" s="277" t="s">
        <v>224</v>
      </c>
      <c r="B25" s="507">
        <f>IF(B24&gt;(B22+B23),B24,(B22+B23))</f>
        <v>216000</v>
      </c>
      <c r="C25" s="508"/>
      <c r="D25" s="271" t="s">
        <v>224</v>
      </c>
      <c r="E25" s="507">
        <f>IF(E24&gt;(E22+E23),E24,(E22+E23))</f>
        <v>25000</v>
      </c>
      <c r="F25" s="508"/>
      <c r="G25" s="271" t="s">
        <v>224</v>
      </c>
      <c r="H25" s="507">
        <f>IF(H24&gt;(H22+H23),H24,(H22+H23))</f>
        <v>70000</v>
      </c>
      <c r="I25" s="508"/>
      <c r="J25" s="271" t="s">
        <v>224</v>
      </c>
      <c r="K25" s="507">
        <f>IF(K24&gt;(K22+K23),K24,(K22+K23))</f>
        <v>40000</v>
      </c>
      <c r="L25" s="508"/>
      <c r="M25" s="271" t="s">
        <v>224</v>
      </c>
      <c r="N25" s="507">
        <f>IF(N24&gt;(N22+N23),N24,(N22+N23))</f>
        <v>12000</v>
      </c>
      <c r="O25" s="508"/>
      <c r="P25" s="265">
        <f t="shared" si="6"/>
        <v>363000</v>
      </c>
      <c r="Q25" s="96">
        <f t="shared" si="7"/>
        <v>4.5375</v>
      </c>
      <c r="R25" s="96"/>
    </row>
    <row r="26" spans="1:18" ht="12.75">
      <c r="A26" s="278" t="s">
        <v>243</v>
      </c>
      <c r="B26" s="513">
        <f>B25+B18</f>
        <v>519000</v>
      </c>
      <c r="C26" s="514"/>
      <c r="D26" s="272" t="s">
        <v>243</v>
      </c>
      <c r="E26" s="513">
        <f>E25+E18</f>
        <v>37400</v>
      </c>
      <c r="F26" s="514"/>
      <c r="G26" s="272" t="s">
        <v>243</v>
      </c>
      <c r="H26" s="513">
        <f>H25+H18</f>
        <v>105700</v>
      </c>
      <c r="I26" s="514"/>
      <c r="J26" s="272" t="s">
        <v>243</v>
      </c>
      <c r="K26" s="513">
        <f>K25+K18</f>
        <v>72400</v>
      </c>
      <c r="L26" s="514"/>
      <c r="M26" s="272" t="s">
        <v>243</v>
      </c>
      <c r="N26" s="513">
        <f>N25+N18</f>
        <v>44500</v>
      </c>
      <c r="O26" s="514"/>
      <c r="P26" s="265">
        <f t="shared" si="6"/>
        <v>779000</v>
      </c>
      <c r="Q26" s="96">
        <f t="shared" si="7"/>
        <v>9.7375</v>
      </c>
      <c r="R26" s="96"/>
    </row>
    <row r="27" spans="1:18" ht="12.75">
      <c r="A27" s="278" t="s">
        <v>241</v>
      </c>
      <c r="B27" s="515">
        <v>4</v>
      </c>
      <c r="C27" s="516"/>
      <c r="D27" s="272" t="s">
        <v>241</v>
      </c>
      <c r="E27" s="519">
        <v>0.275</v>
      </c>
      <c r="F27" s="520"/>
      <c r="G27" s="272" t="s">
        <v>241</v>
      </c>
      <c r="H27" s="515">
        <v>0.2</v>
      </c>
      <c r="I27" s="516"/>
      <c r="J27" s="272" t="s">
        <v>241</v>
      </c>
      <c r="K27" s="519">
        <v>0.6</v>
      </c>
      <c r="L27" s="520"/>
      <c r="M27" s="272" t="s">
        <v>241</v>
      </c>
      <c r="N27" s="515">
        <v>4</v>
      </c>
      <c r="O27" s="505"/>
      <c r="P27" s="265">
        <f>B27+E27+H27+K27</f>
        <v>5.075</v>
      </c>
      <c r="Q27" s="96" t="s">
        <v>272</v>
      </c>
      <c r="R27" s="96"/>
    </row>
    <row r="28" spans="1:18" ht="12.75">
      <c r="A28" s="278" t="s">
        <v>242</v>
      </c>
      <c r="B28" s="513">
        <f>B21/100*B27</f>
        <v>320000</v>
      </c>
      <c r="C28" s="514"/>
      <c r="D28" s="272" t="s">
        <v>242</v>
      </c>
      <c r="E28" s="513">
        <f>E21/100*E27+12000</f>
        <v>34000</v>
      </c>
      <c r="F28" s="514"/>
      <c r="G28" s="272" t="s">
        <v>242</v>
      </c>
      <c r="H28" s="513">
        <f>H21/100*H27+C15*(Q1+1)+20000</f>
        <v>102000</v>
      </c>
      <c r="I28" s="514"/>
      <c r="J28" s="272" t="s">
        <v>242</v>
      </c>
      <c r="K28" s="513">
        <f>K21/100*K27+18000</f>
        <v>66000</v>
      </c>
      <c r="L28" s="514"/>
      <c r="M28" s="272" t="s">
        <v>242</v>
      </c>
      <c r="N28" s="513">
        <f>N21/100*N27</f>
        <v>0</v>
      </c>
      <c r="O28" s="514"/>
      <c r="P28" s="265">
        <f>B28+E28+H28+K28+N28</f>
        <v>522000</v>
      </c>
      <c r="Q28" s="96">
        <f t="shared" si="7"/>
        <v>6.525</v>
      </c>
      <c r="R28" s="96"/>
    </row>
    <row r="29" spans="1:18" ht="12.75">
      <c r="A29" s="278" t="s">
        <v>45</v>
      </c>
      <c r="B29" s="517">
        <f>B28-B26</f>
        <v>-199000</v>
      </c>
      <c r="C29" s="518"/>
      <c r="D29" s="272" t="s">
        <v>45</v>
      </c>
      <c r="E29" s="517">
        <f>E28-E26</f>
        <v>-3400</v>
      </c>
      <c r="F29" s="518"/>
      <c r="G29" s="272" t="s">
        <v>45</v>
      </c>
      <c r="H29" s="517">
        <f>H28-H26</f>
        <v>-3700</v>
      </c>
      <c r="I29" s="518"/>
      <c r="J29" s="272" t="s">
        <v>45</v>
      </c>
      <c r="K29" s="517">
        <f>K28-K26</f>
        <v>-6400</v>
      </c>
      <c r="L29" s="518"/>
      <c r="M29" s="272" t="s">
        <v>45</v>
      </c>
      <c r="N29" s="517">
        <f>N28-N26</f>
        <v>-44500</v>
      </c>
      <c r="O29" s="518"/>
      <c r="P29" s="265">
        <f t="shared" si="6"/>
        <v>-257000</v>
      </c>
      <c r="Q29" s="96">
        <f t="shared" si="7"/>
        <v>-3.2125</v>
      </c>
      <c r="R29" s="96"/>
    </row>
    <row r="30" spans="1:18" ht="12.75">
      <c r="A30" s="278" t="s">
        <v>244</v>
      </c>
      <c r="B30" s="515">
        <v>50</v>
      </c>
      <c r="C30" s="516"/>
      <c r="D30" s="272" t="s">
        <v>244</v>
      </c>
      <c r="E30" s="515">
        <v>30</v>
      </c>
      <c r="F30" s="516"/>
      <c r="G30" s="272" t="s">
        <v>244</v>
      </c>
      <c r="H30" s="515">
        <v>50</v>
      </c>
      <c r="I30" s="516"/>
      <c r="J30" s="272" t="s">
        <v>244</v>
      </c>
      <c r="K30" s="515">
        <v>30</v>
      </c>
      <c r="L30" s="516"/>
      <c r="M30" s="272" t="s">
        <v>244</v>
      </c>
      <c r="N30" s="515">
        <v>50</v>
      </c>
      <c r="O30" s="516"/>
      <c r="P30" s="265"/>
      <c r="Q30" s="96"/>
      <c r="R30" s="96"/>
    </row>
    <row r="31" spans="1:18" ht="12.75">
      <c r="A31" s="278" t="s">
        <v>245</v>
      </c>
      <c r="B31" s="513">
        <f>IF(B29&gt;0,B29/100*B30,0)</f>
        <v>0</v>
      </c>
      <c r="C31" s="514"/>
      <c r="D31" s="272" t="s">
        <v>245</v>
      </c>
      <c r="E31" s="513">
        <f>IF(E29&gt;0,E29/100*E30,0)</f>
        <v>0</v>
      </c>
      <c r="F31" s="514"/>
      <c r="G31" s="272" t="s">
        <v>245</v>
      </c>
      <c r="H31" s="513">
        <f>IF(H29&gt;0,H29/100*H30,0)</f>
        <v>0</v>
      </c>
      <c r="I31" s="514"/>
      <c r="J31" s="272" t="s">
        <v>245</v>
      </c>
      <c r="K31" s="513">
        <f>IF(K29&gt;0,K29/100*K30,0)</f>
        <v>0</v>
      </c>
      <c r="L31" s="514"/>
      <c r="M31" s="272" t="s">
        <v>245</v>
      </c>
      <c r="N31" s="513">
        <f>IF(N29&gt;0,N29/100*N30,0)</f>
        <v>0</v>
      </c>
      <c r="O31" s="514"/>
      <c r="P31" s="265">
        <f t="shared" si="6"/>
        <v>0</v>
      </c>
      <c r="Q31" s="96">
        <f t="shared" si="7"/>
        <v>0</v>
      </c>
      <c r="R31" s="96"/>
    </row>
    <row r="32" spans="1:18" ht="12.75">
      <c r="A32" s="278" t="s">
        <v>7</v>
      </c>
      <c r="B32" s="513">
        <f>B25+B31</f>
        <v>216000</v>
      </c>
      <c r="C32" s="514"/>
      <c r="D32" s="272" t="s">
        <v>7</v>
      </c>
      <c r="E32" s="513">
        <f>E25+E31</f>
        <v>25000</v>
      </c>
      <c r="F32" s="514"/>
      <c r="G32" s="272" t="s">
        <v>7</v>
      </c>
      <c r="H32" s="513">
        <f>H25+H31</f>
        <v>70000</v>
      </c>
      <c r="I32" s="514"/>
      <c r="J32" s="272" t="s">
        <v>7</v>
      </c>
      <c r="K32" s="513">
        <f>K25+K31</f>
        <v>40000</v>
      </c>
      <c r="L32" s="514"/>
      <c r="M32" s="272" t="s">
        <v>7</v>
      </c>
      <c r="N32" s="513">
        <f>N25+N31</f>
        <v>12000</v>
      </c>
      <c r="O32" s="514"/>
      <c r="P32" s="265">
        <f t="shared" si="6"/>
        <v>363000</v>
      </c>
      <c r="Q32" s="96">
        <f t="shared" si="7"/>
        <v>4.5375</v>
      </c>
      <c r="R32" s="96"/>
    </row>
    <row r="33" spans="1:18" ht="13.5" thickBot="1">
      <c r="A33" s="278" t="s">
        <v>246</v>
      </c>
      <c r="B33" s="513">
        <f>B32+B18</f>
        <v>519000</v>
      </c>
      <c r="C33" s="514"/>
      <c r="D33" s="272" t="s">
        <v>246</v>
      </c>
      <c r="E33" s="513">
        <f>E32+E18</f>
        <v>37400</v>
      </c>
      <c r="F33" s="514"/>
      <c r="G33" s="272" t="s">
        <v>246</v>
      </c>
      <c r="H33" s="513">
        <f>H32+H18</f>
        <v>105700</v>
      </c>
      <c r="I33" s="514"/>
      <c r="J33" s="272" t="s">
        <v>246</v>
      </c>
      <c r="K33" s="513">
        <f>K32+K18</f>
        <v>72400</v>
      </c>
      <c r="L33" s="514"/>
      <c r="M33" s="272" t="s">
        <v>246</v>
      </c>
      <c r="N33" s="513">
        <f>N32+N18</f>
        <v>44500</v>
      </c>
      <c r="O33" s="514"/>
      <c r="P33" s="266">
        <f>B33+E33+H33+K33+N33</f>
        <v>779000</v>
      </c>
      <c r="Q33" s="287">
        <f t="shared" si="7"/>
        <v>9.7375</v>
      </c>
      <c r="R33" s="96"/>
    </row>
    <row r="34" spans="1:18" ht="13.5" thickBot="1">
      <c r="A34" s="279" t="s">
        <v>247</v>
      </c>
      <c r="B34" s="511">
        <f>B28-B33</f>
        <v>-199000</v>
      </c>
      <c r="C34" s="512"/>
      <c r="D34" s="273" t="s">
        <v>247</v>
      </c>
      <c r="E34" s="511">
        <f>E28-E33</f>
        <v>-3400</v>
      </c>
      <c r="F34" s="512"/>
      <c r="G34" s="273" t="s">
        <v>247</v>
      </c>
      <c r="H34" s="511">
        <f>H28-H33</f>
        <v>-3700</v>
      </c>
      <c r="I34" s="512"/>
      <c r="J34" s="273" t="s">
        <v>247</v>
      </c>
      <c r="K34" s="511">
        <f>K28-K33</f>
        <v>-6400</v>
      </c>
      <c r="L34" s="512"/>
      <c r="M34" s="273" t="s">
        <v>247</v>
      </c>
      <c r="N34" s="511">
        <f>N28-N33</f>
        <v>-44500</v>
      </c>
      <c r="O34" s="512"/>
      <c r="P34" s="267">
        <f t="shared" si="6"/>
        <v>-257000</v>
      </c>
      <c r="Q34" s="96">
        <f t="shared" si="7"/>
        <v>-3.2125</v>
      </c>
      <c r="R34" s="96"/>
    </row>
    <row r="35" spans="1:16" ht="12.75">
      <c r="A35" s="96" t="s">
        <v>447</v>
      </c>
      <c r="B35" s="96"/>
      <c r="C35" s="96">
        <v>16</v>
      </c>
      <c r="D35" s="96"/>
      <c r="E35" s="96"/>
      <c r="F35" s="96">
        <v>6.8</v>
      </c>
      <c r="G35" s="96"/>
      <c r="H35" s="96"/>
      <c r="I35" s="96">
        <v>7.9</v>
      </c>
      <c r="J35" s="96"/>
      <c r="K35" s="96"/>
      <c r="L35" s="96">
        <v>8.7</v>
      </c>
      <c r="M35" s="96"/>
      <c r="N35" s="96"/>
      <c r="O35" s="96"/>
      <c r="P35" s="96"/>
    </row>
    <row r="36" spans="1:16" ht="12.75">
      <c r="A36" s="96"/>
      <c r="B36" s="96"/>
      <c r="C36" s="96"/>
      <c r="D36" s="96"/>
      <c r="E36" s="96"/>
      <c r="F36" s="96" t="s">
        <v>448</v>
      </c>
      <c r="G36" s="96"/>
      <c r="H36" s="96"/>
      <c r="I36" s="96"/>
      <c r="J36" s="96"/>
      <c r="K36" s="96"/>
      <c r="L36" s="96"/>
      <c r="M36" s="96"/>
      <c r="N36" s="96"/>
      <c r="O36" s="96"/>
      <c r="P36" s="96"/>
    </row>
    <row r="37" spans="1:16" ht="12.75">
      <c r="A37" s="96"/>
      <c r="B37" s="96"/>
      <c r="C37" s="96"/>
      <c r="D37" s="96"/>
      <c r="E37" s="96"/>
      <c r="F37" s="96" t="s">
        <v>449</v>
      </c>
      <c r="G37" s="96"/>
      <c r="H37" s="96"/>
      <c r="I37" s="96"/>
      <c r="J37" s="96"/>
      <c r="K37" s="96"/>
      <c r="L37" s="96"/>
      <c r="M37" s="96"/>
      <c r="N37" s="96"/>
      <c r="O37" s="96"/>
      <c r="P37" s="96"/>
    </row>
    <row r="38" spans="1:16" ht="12.75">
      <c r="A38" s="96"/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</row>
    <row r="39" spans="1:16" ht="12.75">
      <c r="A39" s="96"/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</row>
  </sheetData>
  <mergeCells count="91">
    <mergeCell ref="A2:C2"/>
    <mergeCell ref="D2:F2"/>
    <mergeCell ref="G2:I2"/>
    <mergeCell ref="A1:B1"/>
    <mergeCell ref="D1:E1"/>
    <mergeCell ref="G1:H1"/>
    <mergeCell ref="J1:K1"/>
    <mergeCell ref="J2:L2"/>
    <mergeCell ref="P3:Q3"/>
    <mergeCell ref="M1:N1"/>
    <mergeCell ref="M2:O2"/>
    <mergeCell ref="B20:C20"/>
    <mergeCell ref="B21:C21"/>
    <mergeCell ref="E20:F20"/>
    <mergeCell ref="E21:F21"/>
    <mergeCell ref="H20:I20"/>
    <mergeCell ref="H21:I21"/>
    <mergeCell ref="K20:L20"/>
    <mergeCell ref="K21:L21"/>
    <mergeCell ref="N20:O20"/>
    <mergeCell ref="N21:O21"/>
    <mergeCell ref="B22:C22"/>
    <mergeCell ref="B26:C26"/>
    <mergeCell ref="E22:F22"/>
    <mergeCell ref="H22:I22"/>
    <mergeCell ref="K22:L22"/>
    <mergeCell ref="N22:O22"/>
    <mergeCell ref="E26:F26"/>
    <mergeCell ref="H26:I26"/>
    <mergeCell ref="B27:C27"/>
    <mergeCell ref="B28:C28"/>
    <mergeCell ref="B29:C29"/>
    <mergeCell ref="B30:C30"/>
    <mergeCell ref="B31:C31"/>
    <mergeCell ref="B32:C32"/>
    <mergeCell ref="B33:C33"/>
    <mergeCell ref="B34:C34"/>
    <mergeCell ref="K26:L26"/>
    <mergeCell ref="N26:O26"/>
    <mergeCell ref="E27:F27"/>
    <mergeCell ref="H27:I27"/>
    <mergeCell ref="K27:L27"/>
    <mergeCell ref="N27:O27"/>
    <mergeCell ref="E28:F28"/>
    <mergeCell ref="H28:I28"/>
    <mergeCell ref="K28:L28"/>
    <mergeCell ref="N28:O28"/>
    <mergeCell ref="E29:F29"/>
    <mergeCell ref="H29:I29"/>
    <mergeCell ref="K29:L29"/>
    <mergeCell ref="N29:O29"/>
    <mergeCell ref="E30:F30"/>
    <mergeCell ref="H30:I30"/>
    <mergeCell ref="K30:L30"/>
    <mergeCell ref="N30:O30"/>
    <mergeCell ref="E31:F31"/>
    <mergeCell ref="H31:I31"/>
    <mergeCell ref="K31:L31"/>
    <mergeCell ref="N31:O31"/>
    <mergeCell ref="E32:F32"/>
    <mergeCell ref="H32:I32"/>
    <mergeCell ref="K32:L32"/>
    <mergeCell ref="N32:O32"/>
    <mergeCell ref="E33:F33"/>
    <mergeCell ref="H33:I33"/>
    <mergeCell ref="K33:L33"/>
    <mergeCell ref="N33:O33"/>
    <mergeCell ref="E34:F34"/>
    <mergeCell ref="H34:I34"/>
    <mergeCell ref="K34:L34"/>
    <mergeCell ref="N34:O34"/>
    <mergeCell ref="K25:L25"/>
    <mergeCell ref="B24:C24"/>
    <mergeCell ref="B25:C25"/>
    <mergeCell ref="E24:F24"/>
    <mergeCell ref="E25:F25"/>
    <mergeCell ref="N24:O24"/>
    <mergeCell ref="N25:O25"/>
    <mergeCell ref="B23:C23"/>
    <mergeCell ref="E23:F23"/>
    <mergeCell ref="H23:I23"/>
    <mergeCell ref="K23:L23"/>
    <mergeCell ref="N23:O23"/>
    <mergeCell ref="H24:I24"/>
    <mergeCell ref="H25:I25"/>
    <mergeCell ref="K24:L24"/>
    <mergeCell ref="M19:O19"/>
    <mergeCell ref="A19:C19"/>
    <mergeCell ref="D19:F19"/>
    <mergeCell ref="G19:I19"/>
    <mergeCell ref="J19:L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4:I11"/>
  <sheetViews>
    <sheetView workbookViewId="0" topLeftCell="A1">
      <selection activeCell="H14" sqref="H14"/>
    </sheetView>
  </sheetViews>
  <sheetFormatPr defaultColWidth="9.00390625" defaultRowHeight="12.75"/>
  <cols>
    <col min="2" max="2" width="11.25390625" style="0" customWidth="1"/>
    <col min="4" max="4" width="14.25390625" style="0" customWidth="1"/>
  </cols>
  <sheetData>
    <row r="4" spans="1:4" ht="12.75">
      <c r="A4" s="493" t="s">
        <v>409</v>
      </c>
      <c r="B4" s="493"/>
      <c r="C4" s="545"/>
      <c r="D4" s="127">
        <v>45000</v>
      </c>
    </row>
    <row r="5" spans="4:9" ht="12.75">
      <c r="D5" s="428">
        <f>D6+D7</f>
        <v>734400</v>
      </c>
      <c r="E5" s="546" t="s">
        <v>408</v>
      </c>
      <c r="F5" s="546"/>
      <c r="G5" s="546"/>
      <c r="H5" s="546"/>
      <c r="I5" s="546"/>
    </row>
    <row r="6" spans="4:9" ht="12.75">
      <c r="D6" s="192">
        <f>СВОДНАЯ!Q18+6400</f>
        <v>422400</v>
      </c>
      <c r="E6" s="547" t="s">
        <v>406</v>
      </c>
      <c r="F6" s="546"/>
      <c r="G6" s="546"/>
      <c r="H6" s="546"/>
      <c r="I6" s="546"/>
    </row>
    <row r="7" spans="2:9" ht="13.5" thickBot="1">
      <c r="B7" s="52"/>
      <c r="C7" s="410"/>
      <c r="D7" s="411">
        <f>СВОДНАЯ!P24</f>
        <v>312000</v>
      </c>
      <c r="E7" s="548" t="s">
        <v>407</v>
      </c>
      <c r="F7" s="544"/>
      <c r="G7" s="544"/>
      <c r="H7" s="544"/>
      <c r="I7" s="544"/>
    </row>
    <row r="8" spans="2:9" ht="13.5" thickBot="1">
      <c r="B8" s="52"/>
      <c r="C8" s="410"/>
      <c r="D8" s="412">
        <f>D5+D4</f>
        <v>779400</v>
      </c>
      <c r="E8" s="543" t="s">
        <v>411</v>
      </c>
      <c r="F8" s="544"/>
      <c r="G8" s="544"/>
      <c r="H8" s="544"/>
      <c r="I8" s="544"/>
    </row>
    <row r="9" spans="1:9" ht="12.75">
      <c r="A9" s="493" t="s">
        <v>404</v>
      </c>
      <c r="B9" s="545"/>
      <c r="C9" s="192">
        <v>30</v>
      </c>
      <c r="D9" s="409">
        <f>C9/(C9+100)*100</f>
        <v>23.076923076923077</v>
      </c>
      <c r="E9" s="548" t="s">
        <v>400</v>
      </c>
      <c r="F9" s="544"/>
      <c r="G9" s="544"/>
      <c r="H9" s="544"/>
      <c r="I9" s="544"/>
    </row>
    <row r="10" spans="1:9" ht="13.5" thickBot="1">
      <c r="A10" s="493" t="s">
        <v>405</v>
      </c>
      <c r="B10" s="545"/>
      <c r="C10" s="246">
        <v>5</v>
      </c>
      <c r="D10" s="413">
        <f>D9-C10</f>
        <v>18.076923076923077</v>
      </c>
      <c r="E10" s="548" t="s">
        <v>403</v>
      </c>
      <c r="F10" s="544"/>
      <c r="G10" s="544"/>
      <c r="H10" s="544"/>
      <c r="I10" s="544"/>
    </row>
    <row r="11" spans="3:9" ht="13.5" thickBot="1">
      <c r="C11" s="96"/>
      <c r="D11" s="53">
        <f>D8/D10*100</f>
        <v>4311574.468085106</v>
      </c>
      <c r="E11" s="543" t="s">
        <v>410</v>
      </c>
      <c r="F11" s="544"/>
      <c r="G11" s="544"/>
      <c r="H11" s="544"/>
      <c r="I11" s="544"/>
    </row>
  </sheetData>
  <mergeCells count="10">
    <mergeCell ref="E11:I11"/>
    <mergeCell ref="A9:B9"/>
    <mergeCell ref="A10:B10"/>
    <mergeCell ref="A4:C4"/>
    <mergeCell ref="E5:I5"/>
    <mergeCell ref="E6:I6"/>
    <mergeCell ref="E7:I7"/>
    <mergeCell ref="E8:I8"/>
    <mergeCell ref="E9:I9"/>
    <mergeCell ref="E10:I1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</dc:creator>
  <cp:keywords/>
  <dc:description/>
  <cp:lastModifiedBy>Ваш помощник</cp:lastModifiedBy>
  <cp:lastPrinted>2010-01-14T06:37:24Z</cp:lastPrinted>
  <dcterms:created xsi:type="dcterms:W3CDTF">2010-01-07T23:55:08Z</dcterms:created>
  <dcterms:modified xsi:type="dcterms:W3CDTF">2012-11-01T16:23:50Z</dcterms:modified>
  <cp:category/>
  <cp:version/>
  <cp:contentType/>
  <cp:contentStatus/>
</cp:coreProperties>
</file>